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9015"/>
  </bookViews>
  <sheets>
    <sheet name="Coin Overview" sheetId="1" r:id="rId1"/>
    <sheet name="Bitcoin Difficulty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B14" i="1" l="1"/>
  <c r="AF14" i="1" s="1"/>
  <c r="H14" i="1"/>
  <c r="K14" i="1" s="1"/>
  <c r="C14" i="1"/>
  <c r="M14" i="1" l="1"/>
  <c r="Z14" i="1" s="1"/>
  <c r="L14" i="1"/>
  <c r="N14" i="1"/>
  <c r="AC14" i="1"/>
  <c r="AD14" i="1" s="1"/>
  <c r="AE14" i="1" s="1"/>
  <c r="AB22" i="1"/>
  <c r="AC22" i="1" s="1"/>
  <c r="AD22" i="1" s="1"/>
  <c r="AE22" i="1" s="1"/>
  <c r="H22" i="1"/>
  <c r="K22" i="1" s="1"/>
  <c r="N22" i="1" s="1"/>
  <c r="C22" i="1"/>
  <c r="AB18" i="1"/>
  <c r="AC18" i="1" s="1"/>
  <c r="AD18" i="1" s="1"/>
  <c r="AE18" i="1" s="1"/>
  <c r="H18" i="1"/>
  <c r="C18" i="1"/>
  <c r="AB17" i="1"/>
  <c r="AC17" i="1" s="1"/>
  <c r="AD17" i="1" s="1"/>
  <c r="AE17" i="1" s="1"/>
  <c r="H17" i="1"/>
  <c r="K17" i="1" s="1"/>
  <c r="C17" i="1"/>
  <c r="K18" i="1" l="1"/>
  <c r="L18" i="1" s="1"/>
  <c r="U14" i="1"/>
  <c r="P14" i="1"/>
  <c r="O14" i="1"/>
  <c r="P22" i="1"/>
  <c r="O22" i="1"/>
  <c r="U22" i="1"/>
  <c r="L22" i="1"/>
  <c r="M22" i="1"/>
  <c r="Z22" i="1" s="1"/>
  <c r="AF22" i="1"/>
  <c r="AF18" i="1"/>
  <c r="M18" i="1"/>
  <c r="Z18" i="1" s="1"/>
  <c r="L17" i="1"/>
  <c r="M17" i="1"/>
  <c r="Z17" i="1" s="1"/>
  <c r="N17" i="1"/>
  <c r="AF17" i="1"/>
  <c r="N18" i="1" l="1"/>
  <c r="P18" i="1" s="1"/>
  <c r="W14" i="1"/>
  <c r="AA14" i="1" s="1"/>
  <c r="V14" i="1"/>
  <c r="Y14" i="1" s="1"/>
  <c r="V22" i="1"/>
  <c r="Y22" i="1" s="1"/>
  <c r="W22" i="1"/>
  <c r="AA22" i="1" s="1"/>
  <c r="P17" i="1"/>
  <c r="U17" i="1"/>
  <c r="W17" i="1" s="1"/>
  <c r="O17" i="1"/>
  <c r="C26" i="1"/>
  <c r="H51" i="2"/>
  <c r="C51" i="2"/>
  <c r="D53" i="2" s="1"/>
  <c r="U18" i="1" l="1"/>
  <c r="W18" i="1" s="1"/>
  <c r="AA18" i="1" s="1"/>
  <c r="O18" i="1"/>
  <c r="B53" i="2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AA17" i="1"/>
  <c r="V17" i="1"/>
  <c r="Y17" i="1" s="1"/>
  <c r="AB11" i="1"/>
  <c r="AB6" i="1"/>
  <c r="AB24" i="1"/>
  <c r="AB23" i="1"/>
  <c r="AB9" i="1"/>
  <c r="AB7" i="1"/>
  <c r="AB16" i="1"/>
  <c r="AB20" i="1"/>
  <c r="AB10" i="1"/>
  <c r="AB15" i="1"/>
  <c r="AB21" i="1"/>
  <c r="AB25" i="1"/>
  <c r="AB8" i="1"/>
  <c r="AB12" i="1"/>
  <c r="AB13" i="1"/>
  <c r="AB19" i="1"/>
  <c r="C9" i="1"/>
  <c r="D9" i="1"/>
  <c r="H9" i="1" s="1"/>
  <c r="C7" i="1"/>
  <c r="D7" i="1"/>
  <c r="H7" i="1"/>
  <c r="C16" i="1"/>
  <c r="H16" i="1"/>
  <c r="C20" i="1"/>
  <c r="H20" i="1"/>
  <c r="K20" i="1" s="1"/>
  <c r="N20" i="1" s="1"/>
  <c r="C10" i="1"/>
  <c r="D10" i="1"/>
  <c r="H10" i="1" s="1"/>
  <c r="K10" i="1" s="1"/>
  <c r="N10" i="1" s="1"/>
  <c r="C15" i="1"/>
  <c r="D15" i="1"/>
  <c r="H15" i="1" s="1"/>
  <c r="C21" i="1"/>
  <c r="D21" i="1"/>
  <c r="H21" i="1" s="1"/>
  <c r="C25" i="1"/>
  <c r="H25" i="1"/>
  <c r="C8" i="1"/>
  <c r="D8" i="1"/>
  <c r="H8" i="1" s="1"/>
  <c r="K8" i="1" s="1"/>
  <c r="N8" i="1" s="1"/>
  <c r="C12" i="1"/>
  <c r="H12" i="1"/>
  <c r="C13" i="1"/>
  <c r="D13" i="1"/>
  <c r="H13" i="1" s="1"/>
  <c r="C19" i="1"/>
  <c r="H19" i="1"/>
  <c r="H23" i="1"/>
  <c r="H24" i="1"/>
  <c r="D6" i="1"/>
  <c r="H6" i="1" s="1"/>
  <c r="D11" i="1"/>
  <c r="H11" i="1" s="1"/>
  <c r="AB26" i="1"/>
  <c r="C23" i="1"/>
  <c r="C24" i="1"/>
  <c r="C6" i="1"/>
  <c r="C11" i="1"/>
  <c r="I26" i="1"/>
  <c r="H26" i="1"/>
  <c r="V18" i="1" l="1"/>
  <c r="Y18" i="1" s="1"/>
  <c r="K19" i="1"/>
  <c r="N19" i="1" s="1"/>
  <c r="K26" i="1"/>
  <c r="K25" i="1"/>
  <c r="N25" i="1" s="1"/>
  <c r="O25" i="1" s="1"/>
  <c r="K9" i="1"/>
  <c r="L9" i="1" s="1"/>
  <c r="AC12" i="1"/>
  <c r="AD12" i="1" s="1"/>
  <c r="AE12" i="1" s="1"/>
  <c r="AF12" i="1"/>
  <c r="AC21" i="1"/>
  <c r="AD21" i="1" s="1"/>
  <c r="AE21" i="1" s="1"/>
  <c r="AF21" i="1"/>
  <c r="AC16" i="1"/>
  <c r="AD16" i="1" s="1"/>
  <c r="AE16" i="1" s="1"/>
  <c r="AF16" i="1"/>
  <c r="AC24" i="1"/>
  <c r="AD24" i="1" s="1"/>
  <c r="AE24" i="1" s="1"/>
  <c r="AF24" i="1"/>
  <c r="AC15" i="1"/>
  <c r="AD15" i="1" s="1"/>
  <c r="AE15" i="1" s="1"/>
  <c r="AF15" i="1"/>
  <c r="AC7" i="1"/>
  <c r="AD7" i="1" s="1"/>
  <c r="AE7" i="1" s="1"/>
  <c r="AF7" i="1"/>
  <c r="AC6" i="1"/>
  <c r="AD6" i="1" s="1"/>
  <c r="AE6" i="1" s="1"/>
  <c r="AF6" i="1"/>
  <c r="AC19" i="1"/>
  <c r="AD19" i="1" s="1"/>
  <c r="AE19" i="1" s="1"/>
  <c r="AF19" i="1"/>
  <c r="AC8" i="1"/>
  <c r="AD8" i="1" s="1"/>
  <c r="AE8" i="1" s="1"/>
  <c r="AF8" i="1"/>
  <c r="AC10" i="1"/>
  <c r="AD10" i="1" s="1"/>
  <c r="AE10" i="1" s="1"/>
  <c r="AF10" i="1"/>
  <c r="AC9" i="1"/>
  <c r="AD9" i="1" s="1"/>
  <c r="AE9" i="1" s="1"/>
  <c r="AF9" i="1"/>
  <c r="AC11" i="1"/>
  <c r="AD11" i="1" s="1"/>
  <c r="AE11" i="1" s="1"/>
  <c r="AF11" i="1"/>
  <c r="K13" i="1"/>
  <c r="N13" i="1" s="1"/>
  <c r="P13" i="1" s="1"/>
  <c r="AC13" i="1"/>
  <c r="AD13" i="1" s="1"/>
  <c r="AE13" i="1" s="1"/>
  <c r="AF13" i="1"/>
  <c r="AC25" i="1"/>
  <c r="AD25" i="1" s="1"/>
  <c r="AE25" i="1" s="1"/>
  <c r="AF25" i="1"/>
  <c r="AC20" i="1"/>
  <c r="AD20" i="1" s="1"/>
  <c r="AE20" i="1" s="1"/>
  <c r="AF20" i="1"/>
  <c r="AC23" i="1"/>
  <c r="AD23" i="1" s="1"/>
  <c r="AE23" i="1" s="1"/>
  <c r="AF23" i="1"/>
  <c r="AC26" i="1"/>
  <c r="AD26" i="1" s="1"/>
  <c r="AE26" i="1" s="1"/>
  <c r="AF26" i="1"/>
  <c r="K16" i="1"/>
  <c r="L16" i="1" s="1"/>
  <c r="K12" i="1"/>
  <c r="L12" i="1" s="1"/>
  <c r="K21" i="1"/>
  <c r="N21" i="1" s="1"/>
  <c r="K15" i="1"/>
  <c r="N15" i="1" s="1"/>
  <c r="P15" i="1" s="1"/>
  <c r="K7" i="1"/>
  <c r="M7" i="1" s="1"/>
  <c r="P20" i="1"/>
  <c r="O20" i="1"/>
  <c r="P25" i="1"/>
  <c r="M12" i="1"/>
  <c r="P19" i="1"/>
  <c r="O19" i="1"/>
  <c r="O8" i="1"/>
  <c r="P8" i="1"/>
  <c r="P10" i="1"/>
  <c r="O10" i="1"/>
  <c r="L19" i="1"/>
  <c r="M19" i="1"/>
  <c r="Z19" i="1" s="1"/>
  <c r="L8" i="1"/>
  <c r="M8" i="1"/>
  <c r="Z8" i="1" s="1"/>
  <c r="L10" i="1"/>
  <c r="M10" i="1"/>
  <c r="L20" i="1"/>
  <c r="M20" i="1"/>
  <c r="K23" i="1"/>
  <c r="M23" i="1" s="1"/>
  <c r="K11" i="1"/>
  <c r="M11" i="1" s="1"/>
  <c r="K6" i="1"/>
  <c r="L6" i="1" s="1"/>
  <c r="K24" i="1"/>
  <c r="N9" i="1" l="1"/>
  <c r="U9" i="1" s="1"/>
  <c r="L25" i="1"/>
  <c r="M25" i="1"/>
  <c r="M9" i="1"/>
  <c r="N7" i="1"/>
  <c r="U8" i="1" s="1"/>
  <c r="W8" i="1" s="1"/>
  <c r="AA8" i="1" s="1"/>
  <c r="N16" i="1"/>
  <c r="U16" i="1" s="1"/>
  <c r="O13" i="1"/>
  <c r="M13" i="1"/>
  <c r="Z13" i="1" s="1"/>
  <c r="L13" i="1"/>
  <c r="M16" i="1"/>
  <c r="Z23" i="1"/>
  <c r="Z20" i="1"/>
  <c r="N12" i="1"/>
  <c r="U25" i="1" s="1"/>
  <c r="W25" i="1" s="1"/>
  <c r="AA25" i="1" s="1"/>
  <c r="L21" i="1"/>
  <c r="L7" i="1"/>
  <c r="M21" i="1"/>
  <c r="Z21" i="1" s="1"/>
  <c r="Z25" i="1"/>
  <c r="Z11" i="1"/>
  <c r="O15" i="1"/>
  <c r="M15" i="1"/>
  <c r="Z15" i="1" s="1"/>
  <c r="U15" i="1"/>
  <c r="V15" i="1" s="1"/>
  <c r="Y15" i="1" s="1"/>
  <c r="L11" i="1"/>
  <c r="N11" i="1"/>
  <c r="U20" i="1" s="1"/>
  <c r="W20" i="1" s="1"/>
  <c r="AA20" i="1" s="1"/>
  <c r="L15" i="1"/>
  <c r="P9" i="1"/>
  <c r="P16" i="1"/>
  <c r="P21" i="1"/>
  <c r="O21" i="1"/>
  <c r="U21" i="1"/>
  <c r="N23" i="1"/>
  <c r="O23" i="1" s="1"/>
  <c r="L23" i="1"/>
  <c r="N6" i="1"/>
  <c r="U10" i="1" s="1"/>
  <c r="V10" i="1" s="1"/>
  <c r="Y10" i="1" s="1"/>
  <c r="M6" i="1"/>
  <c r="Z6" i="1" s="1"/>
  <c r="L24" i="1"/>
  <c r="M24" i="1"/>
  <c r="Z24" i="1" s="1"/>
  <c r="N24" i="1"/>
  <c r="L26" i="1"/>
  <c r="M26" i="1"/>
  <c r="Z26" i="1" s="1"/>
  <c r="N26" i="1"/>
  <c r="U26" i="1" s="1"/>
  <c r="O9" i="1" l="1"/>
  <c r="V8" i="1"/>
  <c r="Y8" i="1" s="1"/>
  <c r="P7" i="1"/>
  <c r="O7" i="1"/>
  <c r="O16" i="1"/>
  <c r="U7" i="1"/>
  <c r="W7" i="1" s="1"/>
  <c r="AA7" i="1" s="1"/>
  <c r="W15" i="1"/>
  <c r="AA15" i="1" s="1"/>
  <c r="V25" i="1"/>
  <c r="Y25" i="1" s="1"/>
  <c r="P11" i="1"/>
  <c r="V20" i="1"/>
  <c r="Y20" i="1" s="1"/>
  <c r="W10" i="1"/>
  <c r="AA10" i="1" s="1"/>
  <c r="U12" i="1"/>
  <c r="V12" i="1" s="1"/>
  <c r="Y12" i="1" s="1"/>
  <c r="U11" i="1"/>
  <c r="V11" i="1" s="1"/>
  <c r="Y11" i="1" s="1"/>
  <c r="O12" i="1"/>
  <c r="Z12" i="1"/>
  <c r="P12" i="1"/>
  <c r="Z16" i="1"/>
  <c r="Z7" i="1"/>
  <c r="O11" i="1"/>
  <c r="U19" i="1"/>
  <c r="Z10" i="1"/>
  <c r="U23" i="1"/>
  <c r="V23" i="1" s="1"/>
  <c r="Y23" i="1" s="1"/>
  <c r="U13" i="1"/>
  <c r="Z9" i="1"/>
  <c r="W16" i="1"/>
  <c r="AA16" i="1" s="1"/>
  <c r="V16" i="1"/>
  <c r="Y16" i="1" s="1"/>
  <c r="W21" i="1"/>
  <c r="AA21" i="1" s="1"/>
  <c r="V21" i="1"/>
  <c r="Y21" i="1" s="1"/>
  <c r="V7" i="1"/>
  <c r="Y7" i="1" s="1"/>
  <c r="V9" i="1"/>
  <c r="Y9" i="1" s="1"/>
  <c r="W9" i="1"/>
  <c r="AA9" i="1" s="1"/>
  <c r="P23" i="1"/>
  <c r="P6" i="1"/>
  <c r="U6" i="1"/>
  <c r="O6" i="1"/>
  <c r="O24" i="1"/>
  <c r="P24" i="1"/>
  <c r="U24" i="1"/>
  <c r="O26" i="1"/>
  <c r="P26" i="1"/>
  <c r="W12" i="1" l="1"/>
  <c r="AA12" i="1" s="1"/>
  <c r="W11" i="1"/>
  <c r="AA11" i="1" s="1"/>
  <c r="W23" i="1"/>
  <c r="AA23" i="1" s="1"/>
  <c r="W19" i="1"/>
  <c r="AA19" i="1" s="1"/>
  <c r="V19" i="1"/>
  <c r="Y19" i="1" s="1"/>
  <c r="W13" i="1"/>
  <c r="AA13" i="1" s="1"/>
  <c r="V13" i="1"/>
  <c r="Y13" i="1" s="1"/>
  <c r="V6" i="1"/>
  <c r="Y6" i="1" s="1"/>
  <c r="W6" i="1"/>
  <c r="AA6" i="1" s="1"/>
  <c r="W24" i="1"/>
  <c r="AA24" i="1" s="1"/>
  <c r="V24" i="1"/>
  <c r="W26" i="1"/>
  <c r="V26" i="1"/>
  <c r="Y26" i="1" s="1"/>
  <c r="Y24" i="1" l="1"/>
  <c r="C53" i="2"/>
  <c r="AA26" i="1"/>
  <c r="C54" i="2" l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G105" i="2" l="1"/>
  <c r="C66" i="2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D65" i="2"/>
  <c r="E65" i="2" s="1"/>
  <c r="C78" i="2" l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G106" i="2"/>
  <c r="D77" i="2"/>
  <c r="E77" i="2" s="1"/>
  <c r="C90" i="2" l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G107" i="2"/>
  <c r="G108" i="2" l="1"/>
  <c r="C102" i="2"/>
  <c r="C103" i="2" l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D113" i="2"/>
  <c r="C114" i="2" l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G109" i="2"/>
  <c r="G110" i="2" l="1"/>
  <c r="G111" i="2" s="1"/>
</calcChain>
</file>

<file path=xl/sharedStrings.xml><?xml version="1.0" encoding="utf-8"?>
<sst xmlns="http://schemas.openxmlformats.org/spreadsheetml/2006/main" count="296" uniqueCount="261">
  <si>
    <t>CryptoCurrency Calculator</t>
  </si>
  <si>
    <t>Bitcoin</t>
  </si>
  <si>
    <t>Bitcoin Cash</t>
  </si>
  <si>
    <t>Ethereum</t>
  </si>
  <si>
    <t>Dash</t>
  </si>
  <si>
    <t>LiteCoin</t>
  </si>
  <si>
    <t>Difficulty</t>
  </si>
  <si>
    <t>Difficulty rate</t>
  </si>
  <si>
    <t>hashrate/sec</t>
  </si>
  <si>
    <t>Mega</t>
  </si>
  <si>
    <t>Giga</t>
  </si>
  <si>
    <t>Tera</t>
  </si>
  <si>
    <t>Total hashes</t>
  </si>
  <si>
    <t>x</t>
  </si>
  <si>
    <t>H = Hashrate (hashes / second)
D = Difficulty (Reference for values below)
B = Reward per Block (Reference for value below)
N = Number of days per month (default = 30)
S = Number of seconds per day (S = 60 * 60 * 24 = 86400)</t>
  </si>
  <si>
    <t>Reward/Block</t>
  </si>
  <si>
    <t>$/day</t>
  </si>
  <si>
    <t>$/mo</t>
  </si>
  <si>
    <t>Coins/day</t>
  </si>
  <si>
    <t>Coins/mo</t>
  </si>
  <si>
    <t>$/Coin</t>
  </si>
  <si>
    <t>NOT CACLUATED USING ELECTRICITY OR OTHER EXPENSES</t>
  </si>
  <si>
    <t>$/yr</t>
  </si>
  <si>
    <t>Power (Watts)</t>
  </si>
  <si>
    <t>Cost of electricity ($/kWh)</t>
  </si>
  <si>
    <t>Pool Fee %</t>
  </si>
  <si>
    <t>Hardware Cost</t>
  </si>
  <si>
    <t>Months to pay off hardware</t>
  </si>
  <si>
    <t>Adj $/day</t>
  </si>
  <si>
    <t>Adj $/mo</t>
  </si>
  <si>
    <t>Adj $/yr</t>
  </si>
  <si>
    <t>Coins/yr</t>
  </si>
  <si>
    <t>electrical efficiency coin/kwh (Lower is better)</t>
  </si>
  <si>
    <t>$ profit / $ kwh yr</t>
  </si>
  <si>
    <t>Total Kwh/mo</t>
  </si>
  <si>
    <t>Total Kwh/day</t>
  </si>
  <si>
    <t>Total Mwh/yr</t>
  </si>
  <si>
    <t>ENVIRONMENTAL IMPACT</t>
  </si>
  <si>
    <t>CO2 in lbs/yr</t>
  </si>
  <si>
    <t xml:space="preserve">Monero </t>
  </si>
  <si>
    <t>Ethereum Classic</t>
  </si>
  <si>
    <t>Zcash</t>
  </si>
  <si>
    <t xml:space="preserve">Vertcoin </t>
  </si>
  <si>
    <t xml:space="preserve">Dogecoin </t>
  </si>
  <si>
    <t xml:space="preserve">Peercoin </t>
  </si>
  <si>
    <t>Bitcoin Gold</t>
  </si>
  <si>
    <t xml:space="preserve">Reddcoin </t>
  </si>
  <si>
    <t xml:space="preserve">Namecoin </t>
  </si>
  <si>
    <t xml:space="preserve">Blackcoin </t>
  </si>
  <si>
    <t xml:space="preserve">Auroracoin </t>
  </si>
  <si>
    <t>Novacoin</t>
  </si>
  <si>
    <t>Date</t>
  </si>
  <si>
    <t>Change</t>
  </si>
  <si>
    <t>Hash Rate</t>
  </si>
  <si>
    <t>Nov 10 2017</t>
  </si>
  <si>
    <t>9,766,913,694 GH/s</t>
  </si>
  <si>
    <t>Oct 26 2017</t>
  </si>
  <si>
    <t>10,399,832,230 GH/s</t>
  </si>
  <si>
    <t>Oct 15 2017</t>
  </si>
  <si>
    <t>8,566,975,802 GH/s</t>
  </si>
  <si>
    <t>Oct 02 2017</t>
  </si>
  <si>
    <t>8,044,926,758 GH/s</t>
  </si>
  <si>
    <t>Sep 18 2017</t>
  </si>
  <si>
    <t>7,898,451,536 GH/s</t>
  </si>
  <si>
    <t>Sep 06 2017</t>
  </si>
  <si>
    <t>6,605,120,681 GH/s</t>
  </si>
  <si>
    <t>Aug 24 2017</t>
  </si>
  <si>
    <t>6,357,781,793 GH/s</t>
  </si>
  <si>
    <t>Aug 09 2017</t>
  </si>
  <si>
    <t>6,608,759,726 GH/s</t>
  </si>
  <si>
    <t>Jul 27 2017</t>
  </si>
  <si>
    <t>6,157,708,817 GH/s</t>
  </si>
  <si>
    <t>Jul 14 2017</t>
  </si>
  <si>
    <t>5,759,015,666 GH/s</t>
  </si>
  <si>
    <t>Jul 02 2017</t>
  </si>
  <si>
    <t>5,072,782,052 GH/s</t>
  </si>
  <si>
    <t>Jun 17 2017</t>
  </si>
  <si>
    <t>5,094,526,985 GH/s</t>
  </si>
  <si>
    <t>Jun 04 2017</t>
  </si>
  <si>
    <t>4,858,754,124 GH/s</t>
  </si>
  <si>
    <t>May 23 2017</t>
  </si>
  <si>
    <t>4,265,775,241 GH/s</t>
  </si>
  <si>
    <t>May 10 2017</t>
  </si>
  <si>
    <t>4,008,427,786 GH/s</t>
  </si>
  <si>
    <t>Apr 27 2017</t>
  </si>
  <si>
    <t>3,736,439,151 GH/s</t>
  </si>
  <si>
    <t>Apr 13 2017</t>
  </si>
  <si>
    <t>3,728,094,244 GH/s</t>
  </si>
  <si>
    <t>Mar 30 2017</t>
  </si>
  <si>
    <t>3,576,533,297 GH/s</t>
  </si>
  <si>
    <t>Mar 17 2017</t>
  </si>
  <si>
    <t>3,405,230,497 GH/s</t>
  </si>
  <si>
    <t>Mar 03 2017</t>
  </si>
  <si>
    <t>3,298,315,540 GH/s</t>
  </si>
  <si>
    <t>Feb 18 2017</t>
  </si>
  <si>
    <t>3,155,225,442 GH/s</t>
  </si>
  <si>
    <t>Feb 04 2017</t>
  </si>
  <si>
    <t>3,022,014,630 GH/s</t>
  </si>
  <si>
    <t>Jan 22 2017</t>
  </si>
  <si>
    <t>2,812,940,600 GH/s</t>
  </si>
  <si>
    <t>Jan 10 2017</t>
  </si>
  <si>
    <t>2,411,623,656 GH/s</t>
  </si>
  <si>
    <t>Dec 28 2016</t>
  </si>
  <si>
    <t>2,274,102,150 GH/s</t>
  </si>
  <si>
    <t>Dec 15 2016</t>
  </si>
  <si>
    <t>2,220,167,778 GH/s</t>
  </si>
  <si>
    <t>Dec 02 2016</t>
  </si>
  <si>
    <t>2,052,749,317 GH/s</t>
  </si>
  <si>
    <t>Nov 18 2016</t>
  </si>
  <si>
    <t>2,017,209,539 GH/s</t>
  </si>
  <si>
    <t>Nov 05 2016</t>
  </si>
  <si>
    <t>1,822,642,296 GH/s</t>
  </si>
  <si>
    <t>Oct 22 2016</t>
  </si>
  <si>
    <t>1,815,470,125 GH/s</t>
  </si>
  <si>
    <t>Oct 08 2016</t>
  </si>
  <si>
    <t>1,850,577,916 GH/s</t>
  </si>
  <si>
    <t>Sep 25 2016</t>
  </si>
  <si>
    <t>1,726,771,560 GH/s</t>
  </si>
  <si>
    <t>Sep 12 2016</t>
  </si>
  <si>
    <t>1,616,574,667 GH/s</t>
  </si>
  <si>
    <t>Aug 29 2016</t>
  </si>
  <si>
    <t>1,580,232,344 GH/s</t>
  </si>
  <si>
    <t>Aug 15 2016</t>
  </si>
  <si>
    <t>1,556,034,316 GH/s</t>
  </si>
  <si>
    <t>Aug 02 2016</t>
  </si>
  <si>
    <t>1,445,207,896 GH/s</t>
  </si>
  <si>
    <t>Jul 18 2016</t>
  </si>
  <si>
    <t>1,528,238,850 GH/s</t>
  </si>
  <si>
    <t>Jul 04 2016</t>
  </si>
  <si>
    <t>1,527,569,009 GH/s</t>
  </si>
  <si>
    <t>Jun 21 2016</t>
  </si>
  <si>
    <t>1,499,324,110 GH/s</t>
  </si>
  <si>
    <t>Jun 08 2016</t>
  </si>
  <si>
    <t>1,403,462,340 GH/s</t>
  </si>
  <si>
    <t>May 24 2016</t>
  </si>
  <si>
    <t>1,426,731,353 GH/s</t>
  </si>
  <si>
    <t>May 11 2016</t>
  </si>
  <si>
    <t>1,390,530,167 GH/s</t>
  </si>
  <si>
    <t>Apr 28 2016</t>
  </si>
  <si>
    <t>1,278,892,782 GH/s</t>
  </si>
  <si>
    <t>Apr 14 2016</t>
  </si>
  <si>
    <t>1,279,029,147 GH/s</t>
  </si>
  <si>
    <t>Apr 01 2016</t>
  </si>
  <si>
    <t>1,194,369,655 GH/s</t>
  </si>
  <si>
    <t>Mar 18 2016</t>
  </si>
  <si>
    <t>1,184,672,491 GH/s</t>
  </si>
  <si>
    <t>Mar 04 2016</t>
  </si>
  <si>
    <t>1,134,066,098 GH/s</t>
  </si>
  <si>
    <t>Feb 19 2016</t>
  </si>
  <si>
    <t>1,170,318,852 GH/s</t>
  </si>
  <si>
    <t>Feb 07 2016</t>
  </si>
  <si>
    <t>1,031,625,717 GH/s</t>
  </si>
  <si>
    <t>Average Difficulty Increase</t>
  </si>
  <si>
    <t>Aug 03 2017</t>
  </si>
  <si>
    <t>12,673 GH/s</t>
  </si>
  <si>
    <t>Jul 31 2017</t>
  </si>
  <si>
    <t>12,537 GH/s</t>
  </si>
  <si>
    <t>11,286 GH/s</t>
  </si>
  <si>
    <t>Jul 24 2017</t>
  </si>
  <si>
    <t>11,209 GH/s</t>
  </si>
  <si>
    <t>Jul 21 2017</t>
  </si>
  <si>
    <t>10,038 GH/s</t>
  </si>
  <si>
    <t>Jul 18 2017</t>
  </si>
  <si>
    <t>8,790 GH/s</t>
  </si>
  <si>
    <t>Jul 15 2017</t>
  </si>
  <si>
    <t>7,999 GH/s</t>
  </si>
  <si>
    <t>Jul 11 2017</t>
  </si>
  <si>
    <t>7,882 GH/s</t>
  </si>
  <si>
    <t>Jul 08 2017</t>
  </si>
  <si>
    <t>7,895 GH/s</t>
  </si>
  <si>
    <t>Jul 04 2017</t>
  </si>
  <si>
    <t>7,158 GH/s</t>
  </si>
  <si>
    <t>Jul 01 2017</t>
  </si>
  <si>
    <t>7,236 GH/s</t>
  </si>
  <si>
    <t>Jun 28 2017</t>
  </si>
  <si>
    <t>6,965 GH/s</t>
  </si>
  <si>
    <t>Jun 24 2017</t>
  </si>
  <si>
    <t>7,307 GH/s</t>
  </si>
  <si>
    <t>Jun 20 2017</t>
  </si>
  <si>
    <t>7,765 GH/s</t>
  </si>
  <si>
    <t>6,539 GH/s</t>
  </si>
  <si>
    <t>Jun 14 2017</t>
  </si>
  <si>
    <t>6,595 GH/s</t>
  </si>
  <si>
    <t>Jun 11 2017</t>
  </si>
  <si>
    <t>5,650 GH/s</t>
  </si>
  <si>
    <t>Jun 06 2017</t>
  </si>
  <si>
    <t>7,224 GH/s</t>
  </si>
  <si>
    <t>Jun 03 2017</t>
  </si>
  <si>
    <t>7,380 GH/s</t>
  </si>
  <si>
    <t>May 30 2017</t>
  </si>
  <si>
    <t>6,914 GH/s</t>
  </si>
  <si>
    <t>May 27 2017</t>
  </si>
  <si>
    <t>6,899 GH/s</t>
  </si>
  <si>
    <t>6,909 GH/s</t>
  </si>
  <si>
    <t>May 20 2017</t>
  </si>
  <si>
    <t>6,437 GH/s</t>
  </si>
  <si>
    <t>May 16 2017</t>
  </si>
  <si>
    <t>6,655 GH/s</t>
  </si>
  <si>
    <t>May 13 2017</t>
  </si>
  <si>
    <t>6,118 GH/s</t>
  </si>
  <si>
    <t>5,440 GH/s</t>
  </si>
  <si>
    <t>May 07 2017</t>
  </si>
  <si>
    <t>5,127 GH/s</t>
  </si>
  <si>
    <t>May 04 2017</t>
  </si>
  <si>
    <t>4,686 GH/s</t>
  </si>
  <si>
    <t>May 01 2017</t>
  </si>
  <si>
    <t>3,598 GH/s</t>
  </si>
  <si>
    <t>4,190 GH/s</t>
  </si>
  <si>
    <t>Apr 24 2017</t>
  </si>
  <si>
    <t>3,769 GH/s</t>
  </si>
  <si>
    <t>Apr 20 2017</t>
  </si>
  <si>
    <t>3,780 GH/s</t>
  </si>
  <si>
    <t>Apr 18 2017</t>
  </si>
  <si>
    <t>2,928 GH/s</t>
  </si>
  <si>
    <t>Apr 14 2017</t>
  </si>
  <si>
    <t>2,663 GH/s</t>
  </si>
  <si>
    <t>Apr 11 2017</t>
  </si>
  <si>
    <t>2,630 GH/s</t>
  </si>
  <si>
    <t>Apr 07 2017</t>
  </si>
  <si>
    <t>2,924 GH/s</t>
  </si>
  <si>
    <t>Apr 04 2017</t>
  </si>
  <si>
    <t>2,662 GH/s</t>
  </si>
  <si>
    <t>Apr 01 2017</t>
  </si>
  <si>
    <t>2,503 GH/s</t>
  </si>
  <si>
    <t>Mar 28 2017</t>
  </si>
  <si>
    <t>2,551 GH/s</t>
  </si>
  <si>
    <t>Mar 24 2017</t>
  </si>
  <si>
    <t>2,702 GH/s</t>
  </si>
  <si>
    <t>Mar 21 2017</t>
  </si>
  <si>
    <t>2,549 GH/s</t>
  </si>
  <si>
    <t>2,685 GH/s</t>
  </si>
  <si>
    <t>Mar 14 2017</t>
  </si>
  <si>
    <t>2,506 GH/s</t>
  </si>
  <si>
    <t>Mar 10 2017</t>
  </si>
  <si>
    <t>2,534 GH/s</t>
  </si>
  <si>
    <t>Mar 07 2017</t>
  </si>
  <si>
    <t>2,573 GH/s</t>
  </si>
  <si>
    <t>2,817 GH/s</t>
  </si>
  <si>
    <t>Feb 28 2017</t>
  </si>
  <si>
    <t>2,835 GH/s</t>
  </si>
  <si>
    <t>Feb 24 2017</t>
  </si>
  <si>
    <t>2,643 GH/s</t>
  </si>
  <si>
    <t>Feb 21 2017</t>
  </si>
  <si>
    <t>Litecoin</t>
  </si>
  <si>
    <t>% difficulty increase</t>
  </si>
  <si>
    <t>Decrease in profit/mo</t>
  </si>
  <si>
    <t>Decrease in profit/yr</t>
  </si>
  <si>
    <t>BTUs/day</t>
  </si>
  <si>
    <t>Profit/mo</t>
  </si>
  <si>
    <t>December 17</t>
  </si>
  <si>
    <t>December 18</t>
  </si>
  <si>
    <t>December 19</t>
  </si>
  <si>
    <t>December 20</t>
  </si>
  <si>
    <t>December 21</t>
  </si>
  <si>
    <t>December 22</t>
  </si>
  <si>
    <t>Linx</t>
  </si>
  <si>
    <t>GAME</t>
  </si>
  <si>
    <t>Monacocoin</t>
  </si>
  <si>
    <t>Vcash</t>
  </si>
  <si>
    <t>https://bitinfocharts.com/bitcoin/</t>
  </si>
  <si>
    <t>Total 5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</si>
</sst>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"/>
    <numFmt numFmtId="165" formatCode="0.0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rgb="FF008000"/>
      <name val="Arial"/>
      <family val="2"/>
    </font>
    <font>
      <b/>
      <sz val="11"/>
      <color rgb="FF008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 vertical="top" wrapText="1"/>
    </xf>
    <xf numFmtId="44" fontId="0" fillId="0" borderId="0" xfId="2" applyFont="1"/>
    <xf numFmtId="0" fontId="0" fillId="0" borderId="1" xfId="0" applyBorder="1"/>
    <xf numFmtId="11" fontId="0" fillId="0" borderId="1" xfId="0" applyNumberFormat="1" applyBorder="1"/>
    <xf numFmtId="44" fontId="0" fillId="0" borderId="1" xfId="2" applyFont="1" applyBorder="1"/>
    <xf numFmtId="0" fontId="0" fillId="0" borderId="4" xfId="0" applyBorder="1"/>
    <xf numFmtId="44" fontId="0" fillId="0" borderId="5" xfId="2" applyFont="1" applyBorder="1"/>
    <xf numFmtId="2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165" fontId="0" fillId="0" borderId="0" xfId="0" applyNumberFormat="1"/>
    <xf numFmtId="165" fontId="0" fillId="0" borderId="1" xfId="0" applyNumberFormat="1" applyBorder="1"/>
    <xf numFmtId="44" fontId="0" fillId="0" borderId="0" xfId="0" applyNumberFormat="1"/>
    <xf numFmtId="165" fontId="0" fillId="0" borderId="5" xfId="0" applyNumberFormat="1" applyBorder="1"/>
    <xf numFmtId="43" fontId="0" fillId="0" borderId="0" xfId="1" applyFont="1"/>
    <xf numFmtId="43" fontId="0" fillId="0" borderId="0" xfId="0" applyNumberFormat="1"/>
    <xf numFmtId="3" fontId="0" fillId="0" borderId="1" xfId="0" applyNumberFormat="1" applyBorder="1"/>
    <xf numFmtId="0" fontId="0" fillId="3" borderId="0" xfId="0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horizontal="right" vertical="center" indent="1"/>
    </xf>
    <xf numFmtId="10" fontId="0" fillId="0" borderId="0" xfId="0" applyNumberFormat="1"/>
    <xf numFmtId="10" fontId="5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10" fontId="6" fillId="0" borderId="0" xfId="0" applyNumberFormat="1" applyFont="1" applyAlignment="1">
      <alignment horizontal="right" vertical="center" indent="1"/>
    </xf>
    <xf numFmtId="10" fontId="7" fillId="0" borderId="0" xfId="0" applyNumberFormat="1" applyFont="1" applyAlignment="1">
      <alignment horizontal="right" vertical="center" indent="1"/>
    </xf>
    <xf numFmtId="10" fontId="0" fillId="0" borderId="0" xfId="2" applyNumberFormat="1" applyFont="1"/>
    <xf numFmtId="10" fontId="0" fillId="0" borderId="0" xfId="3" applyNumberFormat="1" applyFont="1"/>
    <xf numFmtId="17" fontId="0" fillId="0" borderId="0" xfId="0" applyNumberFormat="1"/>
    <xf numFmtId="16" fontId="0" fillId="0" borderId="0" xfId="0" applyNumberFormat="1"/>
    <xf numFmtId="49" fontId="0" fillId="0" borderId="0" xfId="0" applyNumberFormat="1"/>
    <xf numFmtId="49" fontId="0" fillId="0" borderId="1" xfId="0" applyNumberFormat="1" applyBorder="1"/>
    <xf numFmtId="44" fontId="0" fillId="0" borderId="0" xfId="2" applyFont="1" applyAlignment="1">
      <alignment horizontal="left" vertical="top" wrapText="1"/>
    </xf>
    <xf numFmtId="43" fontId="0" fillId="0" borderId="1" xfId="1" applyFont="1" applyBorder="1"/>
    <xf numFmtId="43" fontId="0" fillId="0" borderId="5" xfId="1" applyFont="1" applyBorder="1"/>
    <xf numFmtId="0" fontId="8" fillId="0" borderId="0" xfId="4"/>
    <xf numFmtId="0" fontId="0" fillId="0" borderId="0" xfId="0" applyAlignment="1">
      <alignment horizontal="left" vertical="top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3" borderId="0" xfId="0" applyFill="1"/>
    <xf numFmtId="44" fontId="0" fillId="0" borderId="1" xfId="0" applyNumberFormat="1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66675</xdr:colOff>
      <xdr:row>1</xdr:row>
      <xdr:rowOff>933450</xdr:rowOff>
    </xdr:to>
    <xdr:pic>
      <xdr:nvPicPr>
        <xdr:cNvPr id="2" name="Picture 1" descr="Mining Earnings Formu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93370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infocharts.com/bitcoi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abSelected="1" topLeftCell="A3" workbookViewId="0">
      <pane xSplit="1" topLeftCell="B1" activePane="topRight" state="frozen"/>
      <selection pane="topRight" activeCell="A26" sqref="A26"/>
    </sheetView>
  </sheetViews>
  <sheetFormatPr defaultRowHeight="15" x14ac:dyDescent="0.25"/>
  <cols>
    <col min="1" max="1" width="24.42578125" bestFit="1" customWidth="1"/>
    <col min="2" max="2" width="18.5703125" bestFit="1" customWidth="1"/>
    <col min="3" max="3" width="13.28515625" bestFit="1" customWidth="1"/>
    <col min="4" max="4" width="12.42578125" bestFit="1" customWidth="1"/>
    <col min="5" max="5" width="5.85546875" bestFit="1" customWidth="1"/>
    <col min="6" max="7" width="4.85546875" bestFit="1" customWidth="1"/>
    <col min="8" max="8" width="22.42578125" customWidth="1"/>
    <col min="9" max="9" width="13.42578125" bestFit="1" customWidth="1"/>
    <col min="10" max="10" width="12.5703125" style="2" bestFit="1" customWidth="1"/>
    <col min="11" max="11" width="14.7109375" style="9" bestFit="1" customWidth="1"/>
    <col min="12" max="12" width="18.85546875" style="11" bestFit="1" customWidth="1"/>
    <col min="13" max="13" width="19.85546875" style="11" bestFit="1" customWidth="1"/>
    <col min="14" max="14" width="11.5703125" style="2" bestFit="1" customWidth="1"/>
    <col min="15" max="15" width="14.28515625" style="2" bestFit="1" customWidth="1"/>
    <col min="16" max="16" width="15.28515625" style="2" bestFit="1" customWidth="1"/>
    <col min="17" max="17" width="13.85546875" bestFit="1" customWidth="1"/>
    <col min="18" max="18" width="24.5703125" bestFit="1" customWidth="1"/>
    <col min="19" max="19" width="10.7109375" bestFit="1" customWidth="1"/>
    <col min="20" max="20" width="14" bestFit="1" customWidth="1"/>
    <col min="21" max="21" width="11.28515625" bestFit="1" customWidth="1"/>
    <col min="22" max="22" width="11.5703125" bestFit="1" customWidth="1"/>
    <col min="23" max="23" width="12.5703125" bestFit="1" customWidth="1"/>
    <col min="24" max="24" width="19.140625" style="28" bestFit="1" customWidth="1"/>
    <col min="25" max="25" width="26" bestFit="1" customWidth="1"/>
    <col min="26" max="26" width="43.28515625" style="11" bestFit="1" customWidth="1"/>
    <col min="27" max="27" width="16.5703125" bestFit="1" customWidth="1"/>
    <col min="28" max="28" width="13.85546875" bestFit="1" customWidth="1"/>
    <col min="29" max="29" width="13.5703125" bestFit="1" customWidth="1"/>
    <col min="30" max="30" width="12.85546875" bestFit="1" customWidth="1"/>
    <col min="31" max="31" width="12.28515625" bestFit="1" customWidth="1"/>
    <col min="32" max="32" width="13.28515625" bestFit="1" customWidth="1"/>
    <col min="33" max="33" width="20.7109375" customWidth="1"/>
    <col min="34" max="34" width="19.5703125" bestFit="1" customWidth="1"/>
  </cols>
  <sheetData>
    <row r="1" spans="1:34" x14ac:dyDescent="0.25">
      <c r="A1" t="s">
        <v>0</v>
      </c>
    </row>
    <row r="2" spans="1:34" ht="113.25" customHeight="1" x14ac:dyDescent="0.25">
      <c r="D2" s="38" t="s">
        <v>14</v>
      </c>
      <c r="E2" s="38"/>
      <c r="F2" s="38"/>
      <c r="G2" s="38"/>
      <c r="H2" s="38"/>
      <c r="I2" s="1"/>
      <c r="J2" s="34"/>
    </row>
    <row r="3" spans="1:34" ht="15.75" thickBot="1" x14ac:dyDescent="0.3">
      <c r="AB3" s="43" t="s">
        <v>37</v>
      </c>
      <c r="AC3" s="43"/>
      <c r="AD3" s="43"/>
      <c r="AE3" s="43"/>
      <c r="AF3" s="18"/>
    </row>
    <row r="4" spans="1:34" ht="15.75" thickTop="1" x14ac:dyDescent="0.25">
      <c r="A4" s="39" t="s">
        <v>21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  <c r="P4" s="42"/>
    </row>
    <row r="5" spans="1:34" x14ac:dyDescent="0.25">
      <c r="A5" s="6"/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15</v>
      </c>
      <c r="J5" s="5" t="s">
        <v>20</v>
      </c>
      <c r="K5" s="10" t="s">
        <v>18</v>
      </c>
      <c r="L5" s="12" t="s">
        <v>19</v>
      </c>
      <c r="M5" s="14" t="s">
        <v>31</v>
      </c>
      <c r="N5" s="7" t="s">
        <v>16</v>
      </c>
      <c r="O5" s="5" t="s">
        <v>17</v>
      </c>
      <c r="P5" s="5" t="s">
        <v>22</v>
      </c>
      <c r="Q5" t="s">
        <v>23</v>
      </c>
      <c r="R5" t="s">
        <v>24</v>
      </c>
      <c r="S5" t="s">
        <v>25</v>
      </c>
      <c r="T5" t="s">
        <v>26</v>
      </c>
      <c r="U5" t="s">
        <v>28</v>
      </c>
      <c r="V5" t="s">
        <v>29</v>
      </c>
      <c r="W5" t="s">
        <v>30</v>
      </c>
      <c r="X5" s="28" t="s">
        <v>244</v>
      </c>
      <c r="Y5" t="s">
        <v>27</v>
      </c>
      <c r="Z5" s="11" t="s">
        <v>32</v>
      </c>
      <c r="AA5" t="s">
        <v>33</v>
      </c>
      <c r="AB5" t="s">
        <v>35</v>
      </c>
      <c r="AC5" t="s">
        <v>34</v>
      </c>
      <c r="AD5" t="s">
        <v>36</v>
      </c>
      <c r="AE5" t="s">
        <v>38</v>
      </c>
      <c r="AF5" t="s">
        <v>247</v>
      </c>
      <c r="AG5" t="s">
        <v>245</v>
      </c>
      <c r="AH5" t="s">
        <v>246</v>
      </c>
    </row>
    <row r="6" spans="1:34" x14ac:dyDescent="0.25">
      <c r="A6" s="6" t="s">
        <v>3</v>
      </c>
      <c r="B6" s="3">
        <v>1393606179864170</v>
      </c>
      <c r="C6" s="3">
        <f>2^32</f>
        <v>4294967296</v>
      </c>
      <c r="D6" s="3">
        <f>58*8</f>
        <v>464</v>
      </c>
      <c r="E6" s="3" t="s">
        <v>13</v>
      </c>
      <c r="F6" s="3"/>
      <c r="G6" s="3"/>
      <c r="H6" s="3">
        <f>IF(E6="x",D6*1000000,IF(F6="x",D6*1000000000,IF(G6="x",D6*1000000000000)))</f>
        <v>464000000</v>
      </c>
      <c r="I6" s="3">
        <v>3</v>
      </c>
      <c r="J6" s="5">
        <v>333.6</v>
      </c>
      <c r="K6" s="35">
        <f>(1*I6*H6*86400)/(B6*C6)</f>
        <v>2.0093382563937681E-11</v>
      </c>
      <c r="L6" s="35">
        <f>K6*30</f>
        <v>6.0280147691813039E-10</v>
      </c>
      <c r="M6" s="36">
        <f>K6*365</f>
        <v>7.3340846358372536E-9</v>
      </c>
      <c r="N6" s="7">
        <f>K6*J6</f>
        <v>6.7031524233296112E-9</v>
      </c>
      <c r="O6" s="5">
        <f>N6*30</f>
        <v>2.0109457269988834E-7</v>
      </c>
      <c r="P6" s="5">
        <f>N6*365</f>
        <v>2.4466506345153082E-6</v>
      </c>
      <c r="Q6">
        <v>1100</v>
      </c>
      <c r="R6">
        <v>0.1</v>
      </c>
      <c r="S6">
        <v>0</v>
      </c>
      <c r="T6">
        <v>3000</v>
      </c>
      <c r="U6" s="2">
        <f>IF(S6&gt;0,(N6-((((Q6/1000)*R6)*24)))-(J6*(S6*K6)),(N6-(((Q6/1000)*R6)*24)))</f>
        <v>-2.6399999932968483</v>
      </c>
      <c r="V6" s="2">
        <f>U6*30</f>
        <v>-79.199999798905452</v>
      </c>
      <c r="W6" s="13">
        <f>U6*365</f>
        <v>-963.59999755334968</v>
      </c>
      <c r="Y6" s="8">
        <f>T6/V6</f>
        <v>-37.878787974964872</v>
      </c>
      <c r="Z6" s="11">
        <f>M6/(Q6*(24*365))</f>
        <v>7.6111297590673035E-16</v>
      </c>
      <c r="AA6" s="2">
        <f>W6/(R6*24*365)</f>
        <v>-1.09999999720702</v>
      </c>
      <c r="AB6" s="15">
        <f>(Q6/1000)*24</f>
        <v>26.400000000000002</v>
      </c>
      <c r="AC6" s="16">
        <f>AB6*30</f>
        <v>792.00000000000011</v>
      </c>
      <c r="AD6" s="16">
        <f>(AC6*12)/1000</f>
        <v>9.5040000000000013</v>
      </c>
      <c r="AE6" s="16">
        <f>AD6*1640.7</f>
        <v>15593.212800000003</v>
      </c>
      <c r="AF6" s="16">
        <f>AB6*3412</f>
        <v>90076.800000000003</v>
      </c>
    </row>
    <row r="7" spans="1:34" x14ac:dyDescent="0.25">
      <c r="A7" s="6" t="s">
        <v>40</v>
      </c>
      <c r="B7" s="17">
        <v>122604405936839</v>
      </c>
      <c r="C7" s="3">
        <f>2^32</f>
        <v>4294967296</v>
      </c>
      <c r="D7" s="3">
        <f>58*8</f>
        <v>464</v>
      </c>
      <c r="E7" s="3" t="s">
        <v>13</v>
      </c>
      <c r="F7" s="3"/>
      <c r="G7" s="3"/>
      <c r="H7" s="3">
        <f>IF(E7="x",D7*1000000,IF(F7="x",D7*1000000000,IF(G7="x",D7*1000000000000)))</f>
        <v>464000000</v>
      </c>
      <c r="I7" s="3">
        <v>5</v>
      </c>
      <c r="J7" s="5">
        <v>17.649999999999999</v>
      </c>
      <c r="K7" s="35">
        <f>(1*I7*H7*86400)/(B7*C7)</f>
        <v>3.8065872512912503E-10</v>
      </c>
      <c r="L7" s="35">
        <f>K7*30</f>
        <v>1.1419761753873751E-8</v>
      </c>
      <c r="M7" s="36">
        <f>K7*365</f>
        <v>1.3894043467213063E-7</v>
      </c>
      <c r="N7" s="7">
        <f>K7*J7</f>
        <v>6.7186264985290559E-9</v>
      </c>
      <c r="O7" s="5">
        <f>N7*30</f>
        <v>2.0155879495587168E-7</v>
      </c>
      <c r="P7" s="5">
        <f>N7*365</f>
        <v>2.4522986719631054E-6</v>
      </c>
      <c r="Q7">
        <v>1100</v>
      </c>
      <c r="R7">
        <v>0.1</v>
      </c>
      <c r="S7">
        <v>0</v>
      </c>
      <c r="T7">
        <v>3000</v>
      </c>
      <c r="U7" s="2">
        <f>IF(S7&gt;0,(N7-((((Q7/1000)*R7)*24)))-(J7*(S7*K7)),(N7-(((Q7/1000)*R7)*24)))</f>
        <v>-2.639999993281374</v>
      </c>
      <c r="V7" s="2">
        <f>U7*30</f>
        <v>-79.199999798441226</v>
      </c>
      <c r="W7" s="13">
        <f>U7*365</f>
        <v>-963.59999754770149</v>
      </c>
      <c r="Y7" s="8">
        <f>T7/V7</f>
        <v>-37.878787975186896</v>
      </c>
      <c r="Z7" s="11">
        <f>M7/(Q7*(24*365))</f>
        <v>1.4418891103375947E-14</v>
      </c>
      <c r="AA7" s="2">
        <f>W7/(R7*24*365)</f>
        <v>-1.0999999972005723</v>
      </c>
      <c r="AB7" s="15">
        <f>(Q7/1000)*24</f>
        <v>26.400000000000002</v>
      </c>
      <c r="AC7" s="16">
        <f>AB7*30</f>
        <v>792.00000000000011</v>
      </c>
      <c r="AD7" s="16">
        <f>(AC7*12)/1000</f>
        <v>9.5040000000000013</v>
      </c>
      <c r="AE7" s="16">
        <f>AD7*1640.7</f>
        <v>15593.212800000003</v>
      </c>
      <c r="AF7" s="16">
        <f>AB7*3412</f>
        <v>90076.800000000003</v>
      </c>
    </row>
    <row r="8" spans="1:34" x14ac:dyDescent="0.25">
      <c r="A8" s="6" t="s">
        <v>47</v>
      </c>
      <c r="B8" s="17">
        <v>1118742071785</v>
      </c>
      <c r="C8" s="3">
        <f>2^32</f>
        <v>4294967296</v>
      </c>
      <c r="D8" s="3">
        <f>58*8</f>
        <v>464</v>
      </c>
      <c r="E8" s="3" t="s">
        <v>13</v>
      </c>
      <c r="F8" s="3"/>
      <c r="G8" s="3"/>
      <c r="H8" s="3">
        <f>IF(E8="x",D8*1000000,IF(F8="x",D8*1000000000,IF(G8="x",D8*1000000000000)))</f>
        <v>464000000</v>
      </c>
      <c r="I8" s="3">
        <v>25</v>
      </c>
      <c r="J8" s="5">
        <v>1.56</v>
      </c>
      <c r="K8" s="35">
        <f>(1*I8*H8*86400)/(B8*C8)</f>
        <v>2.0858443619924928E-7</v>
      </c>
      <c r="L8" s="35">
        <f>K8*30</f>
        <v>6.2575330859774788E-6</v>
      </c>
      <c r="M8" s="36">
        <f>K8*365</f>
        <v>7.6133319212725993E-5</v>
      </c>
      <c r="N8" s="7">
        <f>K8*J8</f>
        <v>3.253917204708289E-7</v>
      </c>
      <c r="O8" s="5">
        <f>N8*30</f>
        <v>9.7617516141248665E-6</v>
      </c>
      <c r="P8" s="5">
        <f>N8*365</f>
        <v>1.1876797797185254E-4</v>
      </c>
      <c r="Q8">
        <v>1100</v>
      </c>
      <c r="R8">
        <v>0.1</v>
      </c>
      <c r="S8">
        <v>0</v>
      </c>
      <c r="T8">
        <v>3000</v>
      </c>
      <c r="U8" s="2">
        <f>IF(S8&gt;0,(N8-((((Q8/1000)*R8)*24)))-(J8*(S8*K8)),(N8-(((Q8/1000)*R8)*24)))</f>
        <v>-2.6399996746082799</v>
      </c>
      <c r="V8" s="2">
        <f>U8*30</f>
        <v>-79.199990238248404</v>
      </c>
      <c r="W8" s="13">
        <f>U8*365</f>
        <v>-963.5998812320222</v>
      </c>
      <c r="Y8" s="8">
        <f>T8/V8</f>
        <v>-37.878792547517214</v>
      </c>
      <c r="Z8" s="11">
        <f>M8/(Q8*(24*365))</f>
        <v>7.9009256136079283E-12</v>
      </c>
      <c r="AA8" s="2">
        <f>W8/(R8*24*365)</f>
        <v>-1.0999998644201165</v>
      </c>
      <c r="AB8" s="15">
        <f>(Q8/1000)*24</f>
        <v>26.400000000000002</v>
      </c>
      <c r="AC8" s="16">
        <f>AB8*30</f>
        <v>792.00000000000011</v>
      </c>
      <c r="AD8" s="16">
        <f>(AC8*12)/1000</f>
        <v>9.5040000000000013</v>
      </c>
      <c r="AE8" s="16">
        <f>AD8*1640.7</f>
        <v>15593.212800000003</v>
      </c>
      <c r="AF8" s="16">
        <f>AB8*3412</f>
        <v>90076.800000000003</v>
      </c>
    </row>
    <row r="9" spans="1:34" x14ac:dyDescent="0.25">
      <c r="A9" s="6" t="s">
        <v>39</v>
      </c>
      <c r="B9" s="17">
        <v>29547467571</v>
      </c>
      <c r="C9" s="3">
        <f>2^32</f>
        <v>4294967296</v>
      </c>
      <c r="D9" s="3">
        <f>58*8</f>
        <v>464</v>
      </c>
      <c r="E9" s="3" t="s">
        <v>13</v>
      </c>
      <c r="F9" s="3"/>
      <c r="G9" s="3"/>
      <c r="H9" s="3">
        <f>IF(E9="x",D9*1000000,IF(F9="x",D9*1000000000,IF(G9="x",D9*1000000000000)))</f>
        <v>464000000</v>
      </c>
      <c r="I9" s="3">
        <v>5.87</v>
      </c>
      <c r="J9" s="5">
        <v>127.43</v>
      </c>
      <c r="K9" s="35">
        <f>(1*I9*H9*86400)/(B9*C9)</f>
        <v>1.8543414166023328E-6</v>
      </c>
      <c r="L9" s="35">
        <f>K9*30</f>
        <v>5.5630242498069986E-5</v>
      </c>
      <c r="M9" s="36">
        <f>K9*365</f>
        <v>6.7683461705985153E-4</v>
      </c>
      <c r="N9" s="7">
        <f>K9*J9</f>
        <v>2.3629872671763528E-4</v>
      </c>
      <c r="O9" s="5">
        <f>N9*30</f>
        <v>7.0889618015290588E-3</v>
      </c>
      <c r="P9" s="5">
        <f>N9*365</f>
        <v>8.6249035251936876E-2</v>
      </c>
      <c r="Q9">
        <v>1100</v>
      </c>
      <c r="R9">
        <v>0.1</v>
      </c>
      <c r="S9">
        <v>0</v>
      </c>
      <c r="T9">
        <v>3000</v>
      </c>
      <c r="U9" s="2">
        <f>IF(S9&gt;0,(N9-((((Q9/1000)*R9)*24)))-(J9*(S9*K9)),(N9-(((Q9/1000)*R9)*24)))</f>
        <v>-2.6397637012732829</v>
      </c>
      <c r="V9" s="2">
        <f>U9*30</f>
        <v>-79.192911038198488</v>
      </c>
      <c r="W9" s="13">
        <f>U9*365</f>
        <v>-963.51375096474828</v>
      </c>
      <c r="Y9" s="8">
        <f>T9/V9</f>
        <v>-37.882178602488274</v>
      </c>
      <c r="Z9" s="11">
        <f>M9/(Q9*(24*365))</f>
        <v>7.0240205174330799E-11</v>
      </c>
      <c r="AA9" s="2">
        <f>W9/(R9*24*365)</f>
        <v>-1.0999015421972012</v>
      </c>
      <c r="AB9" s="15">
        <f>(Q9/1000)*24</f>
        <v>26.400000000000002</v>
      </c>
      <c r="AC9" s="16">
        <f>AB9*30</f>
        <v>792.00000000000011</v>
      </c>
      <c r="AD9" s="16">
        <f>(AC9*12)/1000</f>
        <v>9.5040000000000013</v>
      </c>
      <c r="AE9" s="16">
        <f>AD9*1640.7</f>
        <v>15593.212800000003</v>
      </c>
      <c r="AF9" s="16">
        <f>AB9*3412</f>
        <v>90076.800000000003</v>
      </c>
    </row>
    <row r="10" spans="1:34" x14ac:dyDescent="0.25">
      <c r="A10" s="6" t="s">
        <v>43</v>
      </c>
      <c r="B10" s="17">
        <v>398881</v>
      </c>
      <c r="C10" s="3">
        <f>2^32</f>
        <v>4294967296</v>
      </c>
      <c r="D10" s="3">
        <f>58*8</f>
        <v>464</v>
      </c>
      <c r="E10" s="3" t="s">
        <v>13</v>
      </c>
      <c r="F10" s="3"/>
      <c r="G10" s="3"/>
      <c r="H10" s="3">
        <f>IF(E10="x",D10*1000000,IF(F10="x",D10*1000000000,IF(G10="x",D10*1000000000000)))</f>
        <v>464000000</v>
      </c>
      <c r="I10" s="3">
        <v>10</v>
      </c>
      <c r="J10" s="5">
        <v>1.2999999999999999E-3</v>
      </c>
      <c r="K10" s="35">
        <f>(1*I10*H10*86400)/(B10*C10)</f>
        <v>0.2340068183700445</v>
      </c>
      <c r="L10" s="35">
        <f>K10*30</f>
        <v>7.0202045511013349</v>
      </c>
      <c r="M10" s="36">
        <f>K10*365</f>
        <v>85.412488705066238</v>
      </c>
      <c r="N10" s="7">
        <f>K10*J10</f>
        <v>3.0420886388105782E-4</v>
      </c>
      <c r="O10" s="5">
        <f>N10*30</f>
        <v>9.126265916431734E-3</v>
      </c>
      <c r="P10" s="5">
        <f>N10*365</f>
        <v>0.1110362353165861</v>
      </c>
      <c r="Q10">
        <v>1100</v>
      </c>
      <c r="R10">
        <v>0.1</v>
      </c>
      <c r="S10">
        <v>0</v>
      </c>
      <c r="T10">
        <v>3000</v>
      </c>
      <c r="U10" s="2">
        <f>IF(S10&gt;0,(N10-((((Q10/1000)*R10)*24)))-(J10*(S10*K10)),(N10-(((Q10/1000)*R10)*24)))</f>
        <v>-2.6396957911361194</v>
      </c>
      <c r="V10" s="2">
        <f>U10*30</f>
        <v>-79.190873734083581</v>
      </c>
      <c r="W10" s="13">
        <f>U10*365</f>
        <v>-963.4889637646836</v>
      </c>
      <c r="Y10" s="8">
        <f>T10/V10</f>
        <v>-37.883153178404783</v>
      </c>
      <c r="Z10" s="11">
        <f>M10/(Q10*(24*365))</f>
        <v>8.8638946352289573E-6</v>
      </c>
      <c r="AA10" s="2">
        <f>W10/(R10*24*365)</f>
        <v>-1.0998732463067162</v>
      </c>
      <c r="AB10" s="15">
        <f>(Q10/1000)*24</f>
        <v>26.400000000000002</v>
      </c>
      <c r="AC10" s="16">
        <f>AB10*30</f>
        <v>792.00000000000011</v>
      </c>
      <c r="AD10" s="16">
        <f>(AC10*12)/1000</f>
        <v>9.5040000000000013</v>
      </c>
      <c r="AE10" s="16">
        <f>AD10*1640.7</f>
        <v>15593.212800000003</v>
      </c>
      <c r="AF10" s="16">
        <f>AB10*3412</f>
        <v>90076.800000000003</v>
      </c>
    </row>
    <row r="11" spans="1:34" x14ac:dyDescent="0.25">
      <c r="A11" s="6" t="s">
        <v>2</v>
      </c>
      <c r="B11" s="17">
        <v>159711597331</v>
      </c>
      <c r="C11" s="3">
        <f>2^32</f>
        <v>4294967296</v>
      </c>
      <c r="D11" s="3">
        <f>58*8</f>
        <v>464</v>
      </c>
      <c r="E11" s="3" t="s">
        <v>13</v>
      </c>
      <c r="F11" s="3"/>
      <c r="G11" s="3"/>
      <c r="H11" s="3">
        <f>IF(E11="x",D11*1000000,IF(F11="x",D11*1000000000,IF(G11="x",D11*1000000000000)))</f>
        <v>464000000</v>
      </c>
      <c r="I11" s="3">
        <v>12.5</v>
      </c>
      <c r="J11" s="5">
        <v>1302.21</v>
      </c>
      <c r="K11" s="35">
        <f>(1*I11*H11*86400)/(B11*C11)</f>
        <v>7.3054239076964226E-7</v>
      </c>
      <c r="L11" s="35">
        <f>K11*30</f>
        <v>2.1916271723089269E-5</v>
      </c>
      <c r="M11" s="36">
        <f>K11*365</f>
        <v>2.6664797263091945E-4</v>
      </c>
      <c r="N11" s="7">
        <f>K11*J11</f>
        <v>9.5131960668413593E-4</v>
      </c>
      <c r="O11" s="5">
        <f>N11*30</f>
        <v>2.8539588200524078E-2</v>
      </c>
      <c r="P11" s="5">
        <f>N11*365</f>
        <v>0.3472316564397096</v>
      </c>
      <c r="Q11">
        <v>1100</v>
      </c>
      <c r="R11">
        <v>0.1</v>
      </c>
      <c r="S11">
        <v>0</v>
      </c>
      <c r="T11">
        <v>3000</v>
      </c>
      <c r="U11" s="2">
        <f>IF(S11&gt;0,(N11-((((Q11/1000)*R11)*24)))-(J11*(S11*K11)),(N11-(((Q11/1000)*R11)*24)))</f>
        <v>-2.6390486803933166</v>
      </c>
      <c r="V11" s="2">
        <f>U11*30</f>
        <v>-79.171460411799501</v>
      </c>
      <c r="W11" s="13">
        <f>U11*365</f>
        <v>-963.25276834356055</v>
      </c>
      <c r="Y11" s="8">
        <f>T11/V11</f>
        <v>-37.892442357333202</v>
      </c>
      <c r="Z11" s="11">
        <f>M11/(Q11*(24*365))</f>
        <v>2.7672060256425844E-11</v>
      </c>
      <c r="AA11" s="2">
        <f>W11/(R11*24*365)</f>
        <v>-1.0996036168305485</v>
      </c>
      <c r="AB11" s="15">
        <f>(Q11/1000)*24</f>
        <v>26.400000000000002</v>
      </c>
      <c r="AC11" s="16">
        <f>AB11*30</f>
        <v>792.00000000000011</v>
      </c>
      <c r="AD11" s="16">
        <f>(AC11*12)/1000</f>
        <v>9.5040000000000013</v>
      </c>
      <c r="AE11" s="16">
        <f>AD11*1640.7</f>
        <v>15593.212800000003</v>
      </c>
      <c r="AF11" s="16">
        <f>AB11*3412</f>
        <v>90076.800000000003</v>
      </c>
    </row>
    <row r="12" spans="1:34" x14ac:dyDescent="0.25">
      <c r="A12" s="6" t="s">
        <v>48</v>
      </c>
      <c r="B12" s="17">
        <v>1419951</v>
      </c>
      <c r="C12" s="3">
        <f>2^32</f>
        <v>4294967296</v>
      </c>
      <c r="D12" s="3">
        <v>464</v>
      </c>
      <c r="E12" s="3" t="s">
        <v>13</v>
      </c>
      <c r="F12" s="3"/>
      <c r="G12" s="3"/>
      <c r="H12" s="3">
        <f>IF(E12="x",D12*1000000,IF(F12="x",D12*1000000000,IF(G12="x",D12*1000000000000)))</f>
        <v>464000000</v>
      </c>
      <c r="I12" s="3">
        <v>1.5</v>
      </c>
      <c r="J12" s="5">
        <v>0.23599999999999999</v>
      </c>
      <c r="K12" s="35">
        <f>(1*I12*H12*86400)/(B12*C12)</f>
        <v>9.8602916986144287E-3</v>
      </c>
      <c r="L12" s="35">
        <f>K12*30</f>
        <v>0.29580875095843284</v>
      </c>
      <c r="M12" s="36">
        <f>K12*365</f>
        <v>3.5990064699942663</v>
      </c>
      <c r="N12" s="7">
        <f>K12*J12</f>
        <v>2.327028840873005E-3</v>
      </c>
      <c r="O12" s="5">
        <f>N12*30</f>
        <v>6.981086522619015E-2</v>
      </c>
      <c r="P12" s="5">
        <f>N12*365</f>
        <v>0.84936552691864686</v>
      </c>
      <c r="Q12">
        <v>1100</v>
      </c>
      <c r="R12">
        <v>0.1</v>
      </c>
      <c r="S12">
        <v>0</v>
      </c>
      <c r="T12">
        <v>3000</v>
      </c>
      <c r="U12" s="2">
        <f>IF(S12&gt;0,(N12-((((Q12/1000)*R12)*24)))-(J12*(S12*K12)),(N12-(((Q12/1000)*R12)*24)))</f>
        <v>-2.6376729711591276</v>
      </c>
      <c r="V12" s="2">
        <f>U12*30</f>
        <v>-79.130189134773829</v>
      </c>
      <c r="W12" s="13">
        <f>U12*365</f>
        <v>-962.75063447308162</v>
      </c>
      <c r="Y12" s="8">
        <f>T12/V12</f>
        <v>-37.912205604493465</v>
      </c>
      <c r="Z12" s="11">
        <f>M12/(Q12*(24*365))</f>
        <v>3.7349589767478895E-7</v>
      </c>
      <c r="AA12" s="2">
        <f>W12/(R12*24*365)</f>
        <v>-1.0990304046496364</v>
      </c>
      <c r="AB12" s="15">
        <f>(Q12/1000)*24</f>
        <v>26.400000000000002</v>
      </c>
      <c r="AC12" s="16">
        <f>AB12*30</f>
        <v>792.00000000000011</v>
      </c>
      <c r="AD12" s="16">
        <f>(AC12*12)/1000</f>
        <v>9.5040000000000013</v>
      </c>
      <c r="AE12" s="16">
        <f>AD12*1640.7</f>
        <v>15593.212800000003</v>
      </c>
      <c r="AF12" s="16">
        <f>AB12*3412</f>
        <v>90076.800000000003</v>
      </c>
    </row>
    <row r="13" spans="1:34" x14ac:dyDescent="0.25">
      <c r="A13" s="6" t="s">
        <v>49</v>
      </c>
      <c r="B13" s="17">
        <v>3278545</v>
      </c>
      <c r="C13" s="3">
        <f>2^32</f>
        <v>4294967296</v>
      </c>
      <c r="D13" s="3">
        <f>58*8</f>
        <v>464</v>
      </c>
      <c r="E13" s="3" t="s">
        <v>13</v>
      </c>
      <c r="F13" s="3"/>
      <c r="G13" s="3"/>
      <c r="H13" s="3">
        <f>IF(E13="x",D13*1000000,IF(F13="x",D13*1000000000,IF(G13="x",D13*1000000000000)))</f>
        <v>464000000</v>
      </c>
      <c r="I13" s="3">
        <v>2.5</v>
      </c>
      <c r="J13" s="5">
        <v>0.63200000000000001</v>
      </c>
      <c r="K13" s="35">
        <f>(1*I13*H13*86400)/(B13*C13)</f>
        <v>7.1175531919084323E-3</v>
      </c>
      <c r="L13" s="35">
        <f>K13*30</f>
        <v>0.21352659575725297</v>
      </c>
      <c r="M13" s="36">
        <f>K13*365</f>
        <v>2.5979069150465777</v>
      </c>
      <c r="N13" s="7">
        <f>K13*J13</f>
        <v>4.4982936172861289E-3</v>
      </c>
      <c r="O13" s="5">
        <f>N13*30</f>
        <v>0.13494880851858387</v>
      </c>
      <c r="P13" s="5">
        <f>N13*365</f>
        <v>1.641877170309437</v>
      </c>
      <c r="Q13">
        <v>1100</v>
      </c>
      <c r="R13">
        <v>0.1</v>
      </c>
      <c r="S13">
        <v>0</v>
      </c>
      <c r="T13">
        <v>3000</v>
      </c>
      <c r="U13" s="2">
        <f>IF(S13&gt;0,(N13-((((Q13/1000)*R13)*24)))-(J13*(S13*K13)),(N13-(((Q13/1000)*R13)*24)))</f>
        <v>-2.6355017063827146</v>
      </c>
      <c r="V13" s="2">
        <f>U13*30</f>
        <v>-79.065051191481444</v>
      </c>
      <c r="W13" s="13">
        <f>U13*365</f>
        <v>-961.95812282969086</v>
      </c>
      <c r="Y13" s="8">
        <f>T13/V13</f>
        <v>-37.943439671398373</v>
      </c>
      <c r="Z13" s="11">
        <f>M13/(Q13*(24*365))</f>
        <v>2.6960428757228909E-7</v>
      </c>
      <c r="AA13" s="2">
        <f>W13/(R13*24*365)</f>
        <v>-1.0981257109927975</v>
      </c>
      <c r="AB13" s="15">
        <f>(Q13/1000)*24</f>
        <v>26.400000000000002</v>
      </c>
      <c r="AC13" s="16">
        <f>AB13*30</f>
        <v>792.00000000000011</v>
      </c>
      <c r="AD13" s="16">
        <f>(AC13*12)/1000</f>
        <v>9.5040000000000013</v>
      </c>
      <c r="AE13" s="16">
        <f>AD13*1640.7</f>
        <v>15593.212800000003</v>
      </c>
      <c r="AF13" s="16">
        <f>AB13*3412</f>
        <v>90076.800000000003</v>
      </c>
    </row>
    <row r="14" spans="1:34" x14ac:dyDescent="0.25">
      <c r="A14" s="6" t="s">
        <v>258</v>
      </c>
      <c r="B14" s="17">
        <v>2473053</v>
      </c>
      <c r="C14" s="3">
        <f>2^32</f>
        <v>4294967296</v>
      </c>
      <c r="D14" s="3">
        <v>1</v>
      </c>
      <c r="E14" s="3"/>
      <c r="F14" s="3" t="s">
        <v>13</v>
      </c>
      <c r="G14" s="3"/>
      <c r="H14" s="3">
        <f>IF(E14="x",D14*1000000,IF(F14="x",D14*1000000000,IF(G14="x",D14*1000000000000)))</f>
        <v>1000000000</v>
      </c>
      <c r="I14" s="3">
        <v>25</v>
      </c>
      <c r="J14" s="5">
        <v>0.73199999999999998</v>
      </c>
      <c r="K14" s="35">
        <f>(1*I14*H14*86400)/(B14*C14)</f>
        <v>0.20335762731019449</v>
      </c>
      <c r="L14" s="35">
        <f>K14*30</f>
        <v>6.1007288193058349</v>
      </c>
      <c r="M14" s="36">
        <f>K14*365</f>
        <v>74.225533968220986</v>
      </c>
      <c r="N14" s="7">
        <f>K14*J14</f>
        <v>0.14885778319106235</v>
      </c>
      <c r="O14" s="5">
        <f>N14*30</f>
        <v>4.4657334957318708</v>
      </c>
      <c r="P14" s="5">
        <f>N14*365</f>
        <v>54.333090864737763</v>
      </c>
      <c r="Q14">
        <v>1100</v>
      </c>
      <c r="R14">
        <v>0.1</v>
      </c>
      <c r="S14">
        <v>0</v>
      </c>
      <c r="T14">
        <v>500</v>
      </c>
      <c r="U14" s="2">
        <f>IF(S14&gt;0,(N14-((((Q14/1000)*R14)*24)))-(J14*(S14*K14)),(N14-(((Q14/1000)*R14)*24)))</f>
        <v>-2.4911422168089383</v>
      </c>
      <c r="V14" s="2">
        <f>U14*30</f>
        <v>-74.734266504268149</v>
      </c>
      <c r="W14" s="13">
        <f>U14*365</f>
        <v>-909.26690913526249</v>
      </c>
      <c r="Y14" s="8">
        <f>T14/V14</f>
        <v>-6.6903714104351915</v>
      </c>
      <c r="Z14" s="11">
        <f>M14/(Q14*(24*365))</f>
        <v>7.7029404284164574E-6</v>
      </c>
      <c r="AA14" s="2">
        <f>W14/(R14*24*365)</f>
        <v>-1.0379759236703909</v>
      </c>
      <c r="AB14" s="15">
        <f>(Q14/1000)*24</f>
        <v>26.400000000000002</v>
      </c>
      <c r="AC14" s="16">
        <f>AB14*30</f>
        <v>792.00000000000011</v>
      </c>
      <c r="AD14" s="16">
        <f>(AC14*12)/1000</f>
        <v>9.5040000000000013</v>
      </c>
      <c r="AE14" s="16">
        <f>AD14*1640.7</f>
        <v>15593.212800000003</v>
      </c>
      <c r="AF14" s="16">
        <f>AB14*3412</f>
        <v>90076.800000000003</v>
      </c>
    </row>
    <row r="15" spans="1:34" x14ac:dyDescent="0.25">
      <c r="A15" s="6" t="s">
        <v>44</v>
      </c>
      <c r="B15" s="17">
        <v>1074560</v>
      </c>
      <c r="C15" s="3">
        <f>2^32</f>
        <v>4294967296</v>
      </c>
      <c r="D15" s="3">
        <f>58*8</f>
        <v>464</v>
      </c>
      <c r="E15" s="3" t="s">
        <v>13</v>
      </c>
      <c r="F15" s="3"/>
      <c r="G15" s="3"/>
      <c r="H15" s="3">
        <f>IF(E15="x",D15*1000000,IF(F15="x",D15*1000000000,IF(G15="x",D15*1000000000000)))</f>
        <v>464000000</v>
      </c>
      <c r="I15" s="3">
        <v>54.48</v>
      </c>
      <c r="J15" s="5">
        <v>1.61</v>
      </c>
      <c r="K15" s="35">
        <f>(1*I15*H15*86400)/(B15*C15)</f>
        <v>0.47323656195753594</v>
      </c>
      <c r="L15" s="35">
        <f>K15*30</f>
        <v>14.197096858726079</v>
      </c>
      <c r="M15" s="36">
        <f>K15*365</f>
        <v>172.73134511450061</v>
      </c>
      <c r="N15" s="7">
        <f>K15*J15</f>
        <v>0.76191086475163294</v>
      </c>
      <c r="O15" s="5">
        <f>N15*30</f>
        <v>22.857325942548989</v>
      </c>
      <c r="P15" s="5">
        <f>N15*365</f>
        <v>278.09746563434601</v>
      </c>
      <c r="Q15">
        <v>1100</v>
      </c>
      <c r="R15">
        <v>0.1</v>
      </c>
      <c r="S15">
        <v>0</v>
      </c>
      <c r="T15">
        <v>3000</v>
      </c>
      <c r="U15" s="2">
        <f>IF(S15&gt;0,(N15-((((Q15/1000)*R15)*24)))-(J15*(S15*K15)),(N15-(((Q15/1000)*R15)*24)))</f>
        <v>-1.8780891352483677</v>
      </c>
      <c r="V15" s="2">
        <f>U15*30</f>
        <v>-56.342674057451035</v>
      </c>
      <c r="W15" s="13">
        <f>U15*365</f>
        <v>-685.50253436565424</v>
      </c>
      <c r="Y15" s="8">
        <f>T15/V15</f>
        <v>-53.24560912641428</v>
      </c>
      <c r="Z15" s="11">
        <f>M15/(Q15*(24*365))</f>
        <v>1.792562734687636E-5</v>
      </c>
      <c r="AA15" s="2">
        <f>W15/(R15*24*365)</f>
        <v>-0.78253713968681982</v>
      </c>
      <c r="AB15" s="15">
        <f>(Q15/1000)*24</f>
        <v>26.400000000000002</v>
      </c>
      <c r="AC15" s="16">
        <f>AB15*30</f>
        <v>792.00000000000011</v>
      </c>
      <c r="AD15" s="16">
        <f>(AC15*12)/1000</f>
        <v>9.5040000000000013</v>
      </c>
      <c r="AE15" s="16">
        <f>AD15*1640.7</f>
        <v>15593.212800000003</v>
      </c>
      <c r="AF15" s="16">
        <f>AB15*3412</f>
        <v>90076.800000000003</v>
      </c>
    </row>
    <row r="16" spans="1:34" x14ac:dyDescent="0.25">
      <c r="A16" s="6" t="s">
        <v>41</v>
      </c>
      <c r="B16" s="17">
        <v>6338714</v>
      </c>
      <c r="C16" s="3">
        <f>2^32</f>
        <v>4294967296</v>
      </c>
      <c r="D16" s="3">
        <v>110</v>
      </c>
      <c r="E16" s="3" t="s">
        <v>13</v>
      </c>
      <c r="F16" s="3"/>
      <c r="G16" s="3"/>
      <c r="H16" s="3">
        <f>IF(E16="x",D16*1000000,IF(F16="x",D16*1000000000,IF(G16="x",D16*1000000000000)))</f>
        <v>110000000</v>
      </c>
      <c r="I16" s="3">
        <v>12.5</v>
      </c>
      <c r="J16" s="5">
        <v>291.52999999999997</v>
      </c>
      <c r="K16" s="35">
        <f>(1*I16*H16*86400)/(B16*C16)</f>
        <v>4.3637053929361245E-3</v>
      </c>
      <c r="L16" s="35">
        <f>K16*30</f>
        <v>0.13091116178808374</v>
      </c>
      <c r="M16" s="36">
        <f>K16*365</f>
        <v>1.5927524684216854</v>
      </c>
      <c r="N16" s="7">
        <f>K16*J16</f>
        <v>1.2721510332026682</v>
      </c>
      <c r="O16" s="5">
        <f>N16*30</f>
        <v>38.164530996080046</v>
      </c>
      <c r="P16" s="5">
        <f>N16*365</f>
        <v>464.3351271189739</v>
      </c>
      <c r="Q16">
        <v>1100</v>
      </c>
      <c r="R16">
        <v>0.1</v>
      </c>
      <c r="S16">
        <v>0</v>
      </c>
      <c r="T16">
        <v>3000</v>
      </c>
      <c r="U16" s="2">
        <f>IF(S16&gt;0,(N16-((((Q16/1000)*R16)*24)))-(J16*(S16*K16)),(N16-(((Q16/1000)*R16)*24)))</f>
        <v>-1.3678489667973324</v>
      </c>
      <c r="V16" s="2">
        <f>U16*30</f>
        <v>-41.035469003919971</v>
      </c>
      <c r="W16" s="13">
        <f>U16*365</f>
        <v>-499.26487288102629</v>
      </c>
      <c r="Y16" s="8">
        <f>T16/V16</f>
        <v>-73.107486591987552</v>
      </c>
      <c r="Z16" s="11">
        <f>M16/(Q16*(24*365))</f>
        <v>1.6529187094455016E-7</v>
      </c>
      <c r="AA16" s="2">
        <f>W16/(R16*24*365)</f>
        <v>-0.56993706949888834</v>
      </c>
      <c r="AB16" s="15">
        <f>(Q16/1000)*24</f>
        <v>26.400000000000002</v>
      </c>
      <c r="AC16" s="16">
        <f>AB16*30</f>
        <v>792.00000000000011</v>
      </c>
      <c r="AD16" s="16">
        <f>(AC16*12)/1000</f>
        <v>9.5040000000000013</v>
      </c>
      <c r="AE16" s="16">
        <f>AD16*1640.7</f>
        <v>15593.212800000003</v>
      </c>
      <c r="AF16" s="16">
        <f>AB16*3412</f>
        <v>90076.800000000003</v>
      </c>
    </row>
    <row r="17" spans="1:32" x14ac:dyDescent="0.25">
      <c r="A17" s="6" t="s">
        <v>255</v>
      </c>
      <c r="B17" s="17">
        <v>6756.3149999999996</v>
      </c>
      <c r="C17" s="3">
        <f>2^32</f>
        <v>4294967296</v>
      </c>
      <c r="D17" s="3">
        <v>83</v>
      </c>
      <c r="E17" s="3" t="s">
        <v>13</v>
      </c>
      <c r="F17" s="3"/>
      <c r="G17" s="3"/>
      <c r="H17" s="3">
        <f>IF(E17="x",D17*1000000,IF(F17="x",D17*1000000000,IF(G17="x",D17*1000000000000)))</f>
        <v>83000000</v>
      </c>
      <c r="I17" s="3">
        <v>50</v>
      </c>
      <c r="J17" s="5">
        <v>0.115</v>
      </c>
      <c r="K17" s="35">
        <f>(1*I17*H17*86400)/(B17*C17)</f>
        <v>12.356403688775835</v>
      </c>
      <c r="L17" s="35">
        <f>K17*30</f>
        <v>370.69211066327506</v>
      </c>
      <c r="M17" s="36">
        <f>K17*365</f>
        <v>4510.0873464031802</v>
      </c>
      <c r="N17" s="7">
        <f>K17*J17</f>
        <v>1.4209864242092212</v>
      </c>
      <c r="O17" s="5">
        <f>N17*30</f>
        <v>42.629592726276634</v>
      </c>
      <c r="P17" s="5">
        <f>N17*365</f>
        <v>518.66004483636573</v>
      </c>
      <c r="Q17">
        <v>1100</v>
      </c>
      <c r="R17">
        <v>0.1</v>
      </c>
      <c r="S17">
        <v>0</v>
      </c>
      <c r="T17">
        <v>500</v>
      </c>
      <c r="U17" s="2">
        <f>IF(S17&gt;0,(N17-((((Q17/1000)*R17)*24)))-(J17*(S17*K17)),(N17-(((Q17/1000)*R17)*24)))</f>
        <v>-1.2190135757907794</v>
      </c>
      <c r="V17" s="2">
        <f>U17*30</f>
        <v>-36.570407273723383</v>
      </c>
      <c r="W17" s="13">
        <f>U17*365</f>
        <v>-444.93995516363447</v>
      </c>
      <c r="Y17" s="8">
        <f>T17/V17</f>
        <v>-13.67225681293576</v>
      </c>
      <c r="Z17" s="11">
        <f>M17/(Q17*(24*365))</f>
        <v>4.6804559427181199E-4</v>
      </c>
      <c r="AA17" s="2">
        <f>W17/(R17*24*365)</f>
        <v>-0.50792232324615805</v>
      </c>
      <c r="AB17" s="15">
        <f>(Q17/1000)*24</f>
        <v>26.400000000000002</v>
      </c>
      <c r="AC17" s="16">
        <f>AB17*30</f>
        <v>792.00000000000011</v>
      </c>
      <c r="AD17" s="16">
        <f>(AC17*12)/1000</f>
        <v>9.5040000000000013</v>
      </c>
      <c r="AE17" s="16">
        <f>AD17*1640.7</f>
        <v>15593.212800000003</v>
      </c>
      <c r="AF17" s="16">
        <f>AB17*3412</f>
        <v>90076.800000000003</v>
      </c>
    </row>
    <row r="18" spans="1:32" x14ac:dyDescent="0.25">
      <c r="A18" s="6" t="s">
        <v>256</v>
      </c>
      <c r="B18" s="17">
        <v>14338.803</v>
      </c>
      <c r="C18" s="3">
        <f>2^32</f>
        <v>4294967296</v>
      </c>
      <c r="D18" s="3">
        <v>83</v>
      </c>
      <c r="E18" s="3" t="s">
        <v>13</v>
      </c>
      <c r="F18" s="3"/>
      <c r="G18" s="3"/>
      <c r="H18" s="3">
        <f>IF(E18="x",D18*1000000,IF(F18="x",D18*1000000000,IF(G18="x",D18*1000000000000)))</f>
        <v>83000000</v>
      </c>
      <c r="I18" s="3">
        <v>12.5</v>
      </c>
      <c r="J18" s="5">
        <v>2.04</v>
      </c>
      <c r="K18" s="35">
        <f>(1*I18*H18*86400)/(B18*C18)</f>
        <v>1.4555565689223064</v>
      </c>
      <c r="L18" s="35">
        <f>K18*30</f>
        <v>43.66669706766919</v>
      </c>
      <c r="M18" s="36">
        <f>K18*365</f>
        <v>531.27814765664186</v>
      </c>
      <c r="N18" s="7">
        <f>K18*J18</f>
        <v>2.9693354006015054</v>
      </c>
      <c r="O18" s="5">
        <f>N18*30</f>
        <v>89.080062018045155</v>
      </c>
      <c r="P18" s="5">
        <f>N18*365</f>
        <v>1083.8074212195495</v>
      </c>
      <c r="Q18">
        <v>1100</v>
      </c>
      <c r="R18">
        <v>0.1</v>
      </c>
      <c r="S18">
        <v>0</v>
      </c>
      <c r="T18">
        <v>500</v>
      </c>
      <c r="U18" s="2">
        <f>IF(S18&gt;0,(N18-((((Q18/1000)*R18)*24)))-(J18*(S18*K18)),(N18-(((Q18/1000)*R18)*24)))</f>
        <v>0.32933540060150479</v>
      </c>
      <c r="V18" s="2">
        <f>U18*30</f>
        <v>9.8800620180451446</v>
      </c>
      <c r="W18" s="13">
        <f>U18*365</f>
        <v>120.20742121954925</v>
      </c>
      <c r="Y18" s="8">
        <f>T18/V18</f>
        <v>50.606969782860666</v>
      </c>
      <c r="Z18" s="11">
        <f>M18/(Q18*(24*365))</f>
        <v>5.5134718519784338E-5</v>
      </c>
      <c r="AA18" s="2">
        <f>W18/(R18*24*365)</f>
        <v>0.13722308358396032</v>
      </c>
      <c r="AB18" s="15">
        <f>(Q18/1000)*24</f>
        <v>26.400000000000002</v>
      </c>
      <c r="AC18" s="16">
        <f>AB18*30</f>
        <v>792.00000000000011</v>
      </c>
      <c r="AD18" s="16">
        <f>(AC18*12)/1000</f>
        <v>9.5040000000000013</v>
      </c>
      <c r="AE18" s="16">
        <f>AD18*1640.7</f>
        <v>15593.212800000003</v>
      </c>
      <c r="AF18" s="16">
        <f>AB18*3412</f>
        <v>90076.800000000003</v>
      </c>
    </row>
    <row r="19" spans="1:32" x14ac:dyDescent="0.25">
      <c r="A19" s="6" t="s">
        <v>50</v>
      </c>
      <c r="B19" s="17">
        <v>13755</v>
      </c>
      <c r="C19" s="3">
        <f>2^32</f>
        <v>4294967296</v>
      </c>
      <c r="D19" s="3">
        <v>110</v>
      </c>
      <c r="E19" s="3" t="s">
        <v>13</v>
      </c>
      <c r="F19" s="3"/>
      <c r="G19" s="3"/>
      <c r="H19" s="3">
        <f>IF(E19="x",D19*1000000,IF(F19="x",D19*1000000000,IF(G19="x",D19*1000000000000)))</f>
        <v>110000000</v>
      </c>
      <c r="I19" s="3">
        <v>5.1100000000000003</v>
      </c>
      <c r="J19" s="5">
        <v>4.4000000000000004</v>
      </c>
      <c r="K19" s="35">
        <f>(1*I19*H19*86400)/(B19*C19)</f>
        <v>0.82206635074761081</v>
      </c>
      <c r="L19" s="35">
        <f>K19*30</f>
        <v>24.661990522428326</v>
      </c>
      <c r="M19" s="36">
        <f>K19*365</f>
        <v>300.05421802287793</v>
      </c>
      <c r="N19" s="7">
        <f>K19*J19</f>
        <v>3.6170919432894877</v>
      </c>
      <c r="O19" s="5">
        <f>N19*30</f>
        <v>108.51275829868463</v>
      </c>
      <c r="P19" s="5">
        <f>N19*365</f>
        <v>1320.2385593006629</v>
      </c>
      <c r="Q19">
        <v>1100</v>
      </c>
      <c r="R19">
        <v>0.1</v>
      </c>
      <c r="S19">
        <v>0</v>
      </c>
      <c r="T19">
        <v>3000</v>
      </c>
      <c r="U19" s="2">
        <f>IF(S19&gt;0,(N19-((((Q19/1000)*R19)*24)))-(J19*(S19*K19)),(N19-(((Q19/1000)*R19)*24)))</f>
        <v>0.97709194328948712</v>
      </c>
      <c r="V19" s="2">
        <f>U19*30</f>
        <v>29.312758298684614</v>
      </c>
      <c r="W19" s="13">
        <f>U19*365</f>
        <v>356.63855930066279</v>
      </c>
      <c r="Y19" s="8">
        <f>T19/V19</f>
        <v>102.34451392909764</v>
      </c>
      <c r="Z19" s="11">
        <f>M19/(Q19*(24*365))</f>
        <v>3.1138876922257986E-5</v>
      </c>
      <c r="AA19" s="2">
        <f>W19/(R19*24*365)</f>
        <v>0.40712164303728626</v>
      </c>
      <c r="AB19" s="15">
        <f>(Q19/1000)*24</f>
        <v>26.400000000000002</v>
      </c>
      <c r="AC19" s="16">
        <f>AB19*30</f>
        <v>792.00000000000011</v>
      </c>
      <c r="AD19" s="16">
        <f>(AC19*12)/1000</f>
        <v>9.5040000000000013</v>
      </c>
      <c r="AE19" s="16">
        <f>AD19*1640.7</f>
        <v>15593.212800000003</v>
      </c>
      <c r="AF19" s="16">
        <f>AB19*3412</f>
        <v>90076.800000000003</v>
      </c>
    </row>
    <row r="20" spans="1:32" x14ac:dyDescent="0.25">
      <c r="A20" s="6" t="s">
        <v>42</v>
      </c>
      <c r="B20" s="17">
        <v>79054</v>
      </c>
      <c r="C20" s="3">
        <f>2^32</f>
        <v>4294967296</v>
      </c>
      <c r="D20" s="3">
        <v>83</v>
      </c>
      <c r="E20" s="3" t="s">
        <v>13</v>
      </c>
      <c r="F20" s="3"/>
      <c r="G20" s="3"/>
      <c r="H20" s="3">
        <f>IF(E20="x",D20*1000000,IF(F20="x",D20*1000000000,IF(G20="x",D20*1000000000000)))</f>
        <v>83000000</v>
      </c>
      <c r="I20" s="3">
        <v>50</v>
      </c>
      <c r="J20" s="5">
        <v>4.17</v>
      </c>
      <c r="K20" s="35">
        <f>(1*I20*H20*86400)/(B20*C20)</f>
        <v>1.0560345534512041</v>
      </c>
      <c r="L20" s="35">
        <f>K20*30</f>
        <v>31.681036603536125</v>
      </c>
      <c r="M20" s="36">
        <f>K20*365</f>
        <v>385.45261200968952</v>
      </c>
      <c r="N20" s="7">
        <f>K20*J20</f>
        <v>4.4036640878915208</v>
      </c>
      <c r="O20" s="5">
        <f>N20*30</f>
        <v>132.10992263674564</v>
      </c>
      <c r="P20" s="5">
        <f>N20*365</f>
        <v>1607.3373920804052</v>
      </c>
      <c r="Q20">
        <v>1100</v>
      </c>
      <c r="R20">
        <v>0.1</v>
      </c>
      <c r="S20">
        <v>0</v>
      </c>
      <c r="T20">
        <v>3000</v>
      </c>
      <c r="U20" s="2">
        <f>IF(S20&gt;0,(N20-((((Q20/1000)*R20)*24)))-(J20*(S20*K20)),(N20-(((Q20/1000)*R20)*24)))</f>
        <v>1.7636640878915202</v>
      </c>
      <c r="V20" s="2">
        <f>U20*30</f>
        <v>52.909922636745605</v>
      </c>
      <c r="W20" s="13">
        <f>U20*365</f>
        <v>643.7373920804049</v>
      </c>
      <c r="Y20" s="8">
        <f>T20/V20</f>
        <v>56.700139605128037</v>
      </c>
      <c r="Z20" s="11">
        <f>M20/(Q20*(24*365))</f>
        <v>4.000130884284864E-5</v>
      </c>
      <c r="AA20" s="2">
        <f>W20/(R20*24*365)</f>
        <v>0.73486003662146671</v>
      </c>
      <c r="AB20" s="15">
        <f>(Q20/1000)*24</f>
        <v>26.400000000000002</v>
      </c>
      <c r="AC20" s="16">
        <f>AB20*30</f>
        <v>792.00000000000011</v>
      </c>
      <c r="AD20" s="16">
        <f>(AC20*12)/1000</f>
        <v>9.5040000000000013</v>
      </c>
      <c r="AE20" s="16">
        <f>AD20*1640.7</f>
        <v>15593.212800000003</v>
      </c>
      <c r="AF20" s="16">
        <f>AB20*3412</f>
        <v>90076.800000000003</v>
      </c>
    </row>
    <row r="21" spans="1:32" x14ac:dyDescent="0.25">
      <c r="A21" s="6" t="s">
        <v>45</v>
      </c>
      <c r="B21" s="17">
        <v>2857251</v>
      </c>
      <c r="C21" s="3">
        <f>2^32</f>
        <v>4294967296</v>
      </c>
      <c r="D21" s="3">
        <f>58*8</f>
        <v>464</v>
      </c>
      <c r="E21" s="3" t="s">
        <v>13</v>
      </c>
      <c r="F21" s="3"/>
      <c r="G21" s="3"/>
      <c r="H21" s="3">
        <f>IF(E21="x",D21*1000000,IF(F21="x",D21*1000000000,IF(G21="x",D21*1000000000000)))</f>
        <v>464000000</v>
      </c>
      <c r="I21" s="3">
        <v>12.5</v>
      </c>
      <c r="J21" s="5">
        <v>131.75</v>
      </c>
      <c r="K21" s="35">
        <f>(1*I21*H21*86400)/(B21*C21)</f>
        <v>4.0835086643710036E-2</v>
      </c>
      <c r="L21" s="35">
        <f>K21*30</f>
        <v>1.2250525993113011</v>
      </c>
      <c r="M21" s="36">
        <f>K21*365</f>
        <v>14.904806624954164</v>
      </c>
      <c r="N21" s="7">
        <f>K21*J21</f>
        <v>5.3800226653087977</v>
      </c>
      <c r="O21" s="5">
        <f>N21*30</f>
        <v>161.40067995926393</v>
      </c>
      <c r="P21" s="5">
        <f>N21*365</f>
        <v>1963.7082728377111</v>
      </c>
      <c r="Q21">
        <v>1100</v>
      </c>
      <c r="R21">
        <v>0.1</v>
      </c>
      <c r="S21">
        <v>0</v>
      </c>
      <c r="T21">
        <v>3000</v>
      </c>
      <c r="U21" s="2">
        <f>IF(S21&gt;0,(N21-((((Q21/1000)*R21)*24)))-(J21*(S21*K21)),(N21-(((Q21/1000)*R21)*24)))</f>
        <v>2.7400226653087971</v>
      </c>
      <c r="V21" s="2">
        <f>U21*30</f>
        <v>82.200679959263908</v>
      </c>
      <c r="W21" s="13">
        <f>U21*365</f>
        <v>1000.108272837711</v>
      </c>
      <c r="Y21" s="8">
        <f>T21/V21</f>
        <v>36.496048469266995</v>
      </c>
      <c r="Z21" s="11">
        <f>M21/(Q21*(24*365))</f>
        <v>1.5467835849890165E-6</v>
      </c>
      <c r="AA21" s="2">
        <f>W21/(R21*24*365)</f>
        <v>1.1416761105453319</v>
      </c>
      <c r="AB21" s="15">
        <f>(Q21/1000)*24</f>
        <v>26.400000000000002</v>
      </c>
      <c r="AC21" s="16">
        <f>AB21*30</f>
        <v>792.00000000000011</v>
      </c>
      <c r="AD21" s="16">
        <f>(AC21*12)/1000</f>
        <v>9.5040000000000013</v>
      </c>
      <c r="AE21" s="16">
        <f>AD21*1640.7</f>
        <v>15593.212800000003</v>
      </c>
      <c r="AF21" s="16">
        <f>AB21*3412</f>
        <v>90076.800000000003</v>
      </c>
    </row>
    <row r="22" spans="1:32" x14ac:dyDescent="0.25">
      <c r="A22" s="6" t="s">
        <v>257</v>
      </c>
      <c r="B22" s="17">
        <v>286473.45199999999</v>
      </c>
      <c r="C22" s="3">
        <f>2^32</f>
        <v>4294967296</v>
      </c>
      <c r="D22" s="3">
        <v>19</v>
      </c>
      <c r="E22" s="3"/>
      <c r="F22" s="3" t="s">
        <v>13</v>
      </c>
      <c r="G22" s="3"/>
      <c r="H22" s="3">
        <f>IF(E22="x",D22*1000000,IF(F22="x",D22*1000000000,IF(G22="x",D22*1000000000000)))</f>
        <v>19000000000</v>
      </c>
      <c r="I22" s="3">
        <v>8</v>
      </c>
      <c r="J22" s="5">
        <v>0.64822400000000002</v>
      </c>
      <c r="K22" s="35">
        <f>(1*I22*H22*86400)/(B22*C22)</f>
        <v>10.673653197635707</v>
      </c>
      <c r="L22" s="35">
        <f>K22*30</f>
        <v>320.20959592907121</v>
      </c>
      <c r="M22" s="36">
        <f>K22*365</f>
        <v>3895.8834171370331</v>
      </c>
      <c r="N22" s="7">
        <f>K22*J22</f>
        <v>6.9189181703842086</v>
      </c>
      <c r="O22" s="5">
        <f>N22*30</f>
        <v>207.56754511152627</v>
      </c>
      <c r="P22" s="5">
        <f>N22*365</f>
        <v>2525.4051321902361</v>
      </c>
      <c r="Q22">
        <v>1100</v>
      </c>
      <c r="R22">
        <v>0.1</v>
      </c>
      <c r="S22">
        <v>0</v>
      </c>
      <c r="T22">
        <v>500</v>
      </c>
      <c r="U22" s="2">
        <f>IF(S22&gt;0,(N22-((((Q22/1000)*R22)*24)))-(J22*(S22*K22)),(N22-(((Q22/1000)*R22)*24)))</f>
        <v>4.2789181703842081</v>
      </c>
      <c r="V22" s="2">
        <f>U22*30</f>
        <v>128.36754511152625</v>
      </c>
      <c r="W22" s="13">
        <f>U22*365</f>
        <v>1561.805132190236</v>
      </c>
      <c r="Y22" s="8">
        <f>T22/V22</f>
        <v>3.8950655289512466</v>
      </c>
      <c r="Z22" s="11">
        <f>M22/(Q22*(24*365))</f>
        <v>4.0430504536498893E-4</v>
      </c>
      <c r="AA22" s="2">
        <f>W22/(R22*24*365)</f>
        <v>1.78288257099342</v>
      </c>
      <c r="AB22" s="15">
        <f>(Q22/1000)*24</f>
        <v>26.400000000000002</v>
      </c>
      <c r="AC22" s="16">
        <f>AB22*30</f>
        <v>792.00000000000011</v>
      </c>
      <c r="AD22" s="16">
        <f>(AC22*12)/1000</f>
        <v>9.5040000000000013</v>
      </c>
      <c r="AE22" s="16">
        <f>AD22*1640.7</f>
        <v>15593.212800000003</v>
      </c>
      <c r="AF22" s="16">
        <f>AB22*3412</f>
        <v>90076.800000000003</v>
      </c>
    </row>
    <row r="23" spans="1:32" x14ac:dyDescent="0.25">
      <c r="A23" s="6" t="s">
        <v>5</v>
      </c>
      <c r="B23" s="17">
        <v>1866334</v>
      </c>
      <c r="C23" s="3">
        <f>2^32</f>
        <v>4294967296</v>
      </c>
      <c r="D23" s="3">
        <v>280</v>
      </c>
      <c r="E23" s="3" t="s">
        <v>13</v>
      </c>
      <c r="F23" s="3"/>
      <c r="G23" s="3"/>
      <c r="H23" s="3">
        <f>IF(E23="x",D23*1000000,IF(F23="x",D23*1000000000,IF(G23="x",D23*1000000000000)))</f>
        <v>280000000</v>
      </c>
      <c r="I23" s="3">
        <v>25</v>
      </c>
      <c r="J23" s="5">
        <v>158.68</v>
      </c>
      <c r="K23" s="35">
        <f>(1*I23*H23*86400)/(B23*C23)</f>
        <v>7.5450574914168816E-2</v>
      </c>
      <c r="L23" s="35">
        <f>K23*30</f>
        <v>2.2635172474250647</v>
      </c>
      <c r="M23" s="36">
        <f>K23*365</f>
        <v>27.539459843671619</v>
      </c>
      <c r="N23" s="7">
        <f>K23*J23</f>
        <v>11.972497227380309</v>
      </c>
      <c r="O23" s="5">
        <f>N23*30</f>
        <v>359.17491682140928</v>
      </c>
      <c r="P23" s="5">
        <f>N23*365</f>
        <v>4369.9614879938126</v>
      </c>
      <c r="Q23">
        <v>800</v>
      </c>
      <c r="R23">
        <v>0.1</v>
      </c>
      <c r="S23">
        <v>0</v>
      </c>
      <c r="T23">
        <v>3000</v>
      </c>
      <c r="U23" s="2">
        <f>IF(S23&gt;0,(N23-((((Q23/1000)*R23)*24)))-(J23*(S23*K23)),(N23-(((Q23/1000)*R23)*24)))</f>
        <v>10.052497227380309</v>
      </c>
      <c r="V23" s="2">
        <f>U23*30</f>
        <v>301.57491682140926</v>
      </c>
      <c r="W23" s="13">
        <f>U23*365</f>
        <v>3669.1614879938129</v>
      </c>
      <c r="X23" s="28">
        <v>3.6200000000000003E-2</v>
      </c>
      <c r="Y23" s="8">
        <f>T23/V23</f>
        <v>9.9477769292615967</v>
      </c>
      <c r="Z23" s="11">
        <f>M23/(Q23*(24*365))</f>
        <v>3.9297174434462929E-6</v>
      </c>
      <c r="AA23" s="2">
        <f>W23/(R23*24*365)</f>
        <v>4.188540511408462</v>
      </c>
      <c r="AB23" s="15">
        <f>(Q23/1000)*24</f>
        <v>19.200000000000003</v>
      </c>
      <c r="AC23" s="16">
        <f>AB23*30</f>
        <v>576.00000000000011</v>
      </c>
      <c r="AD23" s="16">
        <f>(AC23*12)/1000</f>
        <v>6.9120000000000017</v>
      </c>
      <c r="AE23" s="16">
        <f>AD23*1640.7</f>
        <v>11340.518400000003</v>
      </c>
      <c r="AF23" s="16">
        <f>AB23*3412</f>
        <v>65510.400000000009</v>
      </c>
    </row>
    <row r="24" spans="1:32" x14ac:dyDescent="0.25">
      <c r="A24" s="6" t="s">
        <v>4</v>
      </c>
      <c r="B24" s="17">
        <v>72754311.670000002</v>
      </c>
      <c r="C24" s="3">
        <f>2^32</f>
        <v>4294967296</v>
      </c>
      <c r="D24" s="3">
        <v>19</v>
      </c>
      <c r="E24" s="3"/>
      <c r="F24" s="3" t="s">
        <v>13</v>
      </c>
      <c r="G24" s="3"/>
      <c r="H24" s="3">
        <f>IF(E24="x",D24*1000000,IF(F24="x",D24*1000000000,IF(G24="x",D24*1000000000000)))</f>
        <v>19000000000</v>
      </c>
      <c r="I24" s="3">
        <v>3.6</v>
      </c>
      <c r="J24" s="5">
        <v>757.79</v>
      </c>
      <c r="K24" s="35">
        <f>(1*I24*H24*86400)/(B24*C24)</f>
        <v>1.8912600408908419E-2</v>
      </c>
      <c r="L24" s="35">
        <f>K24*30</f>
        <v>0.5673780122672526</v>
      </c>
      <c r="M24" s="36">
        <f>K24*365</f>
        <v>6.903099149251573</v>
      </c>
      <c r="N24" s="7">
        <f>K24*J24</f>
        <v>14.33177946386671</v>
      </c>
      <c r="O24" s="5">
        <f>N24*30</f>
        <v>429.95338391600126</v>
      </c>
      <c r="P24" s="5">
        <f>N24*365</f>
        <v>5231.0995043113489</v>
      </c>
      <c r="Q24">
        <v>1100</v>
      </c>
      <c r="R24">
        <v>0.1</v>
      </c>
      <c r="S24">
        <v>0</v>
      </c>
      <c r="T24">
        <v>3000</v>
      </c>
      <c r="U24" s="2">
        <f>IF(S24&gt;0,(N24-((((Q24/1000)*R24)*24)))-(J24*(S24*K24)),(N24-(((Q24/1000)*R24)*24)))</f>
        <v>11.691779463866709</v>
      </c>
      <c r="V24" s="2">
        <f>U24*30</f>
        <v>350.75338391600127</v>
      </c>
      <c r="W24" s="13">
        <f>U24*365</f>
        <v>4267.4995043113486</v>
      </c>
      <c r="Y24" s="8">
        <f>T24/V24</f>
        <v>8.5530179823395311</v>
      </c>
      <c r="Z24" s="11">
        <f>M24/(Q24*(24*365))</f>
        <v>7.1638637912531891E-7</v>
      </c>
      <c r="AA24" s="2">
        <f>W24/(R24*24*365)</f>
        <v>4.8715747766111281</v>
      </c>
      <c r="AB24" s="15">
        <f>(Q24/1000)*24</f>
        <v>26.400000000000002</v>
      </c>
      <c r="AC24" s="16">
        <f>AB24*30</f>
        <v>792.00000000000011</v>
      </c>
      <c r="AD24" s="16">
        <f>(AC24*12)/1000</f>
        <v>9.5040000000000013</v>
      </c>
      <c r="AE24" s="16">
        <f>AD24*1640.7</f>
        <v>15593.212800000003</v>
      </c>
      <c r="AF24" s="16">
        <f>AB24*3412</f>
        <v>90076.800000000003</v>
      </c>
    </row>
    <row r="25" spans="1:32" x14ac:dyDescent="0.25">
      <c r="A25" s="6" t="s">
        <v>46</v>
      </c>
      <c r="B25" s="17">
        <v>57.44</v>
      </c>
      <c r="C25" s="3">
        <f>2^32</f>
        <v>4294967296</v>
      </c>
      <c r="D25" s="3">
        <v>83</v>
      </c>
      <c r="E25" s="3" t="s">
        <v>13</v>
      </c>
      <c r="F25" s="3"/>
      <c r="G25" s="3"/>
      <c r="H25" s="3">
        <f>IF(E25="x",D25*1000000,IF(F25="x",D25*1000000000,IF(G25="x",D25*1000000000000)))</f>
        <v>83000000</v>
      </c>
      <c r="I25" s="3">
        <v>530.09</v>
      </c>
      <c r="J25" s="5">
        <v>1.1000000000000001E-3</v>
      </c>
      <c r="K25" s="35">
        <f>(1*I25*H25*86400)/(B25*C25)</f>
        <v>15408.740947048977</v>
      </c>
      <c r="L25" s="35">
        <f>K25*30</f>
        <v>462262.22841146932</v>
      </c>
      <c r="M25" s="36">
        <f>K25*365</f>
        <v>5624190.4456728762</v>
      </c>
      <c r="N25" s="7">
        <f>K25*J25</f>
        <v>16.949615041753876</v>
      </c>
      <c r="O25" s="5">
        <f>N25*30</f>
        <v>508.4884512526163</v>
      </c>
      <c r="P25" s="5">
        <f>N25*365</f>
        <v>6186.6094902401646</v>
      </c>
      <c r="Q25">
        <v>1100</v>
      </c>
      <c r="R25">
        <v>0.1</v>
      </c>
      <c r="S25">
        <v>0</v>
      </c>
      <c r="T25">
        <v>3000</v>
      </c>
      <c r="U25" s="2">
        <f>IF(S25&gt;0,(N25-((((Q25/1000)*R25)*24)))-(J25*(S25*K25)),(N25-(((Q25/1000)*R25)*24)))</f>
        <v>14.309615041753876</v>
      </c>
      <c r="V25" s="2">
        <f>U25*30</f>
        <v>429.28845125261626</v>
      </c>
      <c r="W25" s="13">
        <f>U25*365</f>
        <v>5223.0094902401643</v>
      </c>
      <c r="Y25" s="8">
        <f>T25/V25</f>
        <v>6.9883081905565634</v>
      </c>
      <c r="Z25" s="11">
        <f>M25/(Q25*(24*365))</f>
        <v>0.58366442981246125</v>
      </c>
      <c r="AA25" s="2">
        <f>W25/(R25*24*365)</f>
        <v>5.9623396007307807</v>
      </c>
      <c r="AB25" s="15">
        <f>(Q25/1000)*24</f>
        <v>26.400000000000002</v>
      </c>
      <c r="AC25" s="16">
        <f>AB25*30</f>
        <v>792.00000000000011</v>
      </c>
      <c r="AD25" s="16">
        <f>(AC25*12)/1000</f>
        <v>9.5040000000000013</v>
      </c>
      <c r="AE25" s="16">
        <f>AD25*1640.7</f>
        <v>15593.212800000003</v>
      </c>
      <c r="AF25" s="16">
        <f>AB25*3412</f>
        <v>90076.800000000003</v>
      </c>
    </row>
    <row r="26" spans="1:32" x14ac:dyDescent="0.25">
      <c r="A26" s="6" t="s">
        <v>1</v>
      </c>
      <c r="B26" s="4">
        <v>1590896927258</v>
      </c>
      <c r="C26" s="3">
        <f>2^32</f>
        <v>4294967296</v>
      </c>
      <c r="D26" s="3">
        <v>210</v>
      </c>
      <c r="E26" s="3"/>
      <c r="F26" s="3"/>
      <c r="G26" s="3" t="s">
        <v>13</v>
      </c>
      <c r="H26" s="3">
        <f>IF(E26="x",D26*1000000,IF(F26="x",D26*1000000000,IF(G26="x",D26*1000000000000)))</f>
        <v>210000000000000</v>
      </c>
      <c r="I26" s="3">
        <f>12.5</f>
        <v>12.5</v>
      </c>
      <c r="J26" s="5">
        <v>16643</v>
      </c>
      <c r="K26" s="35">
        <f>(1*I26*H26*86400)/(B26*C26)</f>
        <v>3.3192590340665074E-2</v>
      </c>
      <c r="L26" s="35">
        <f>K26*30</f>
        <v>0.99577771021995221</v>
      </c>
      <c r="M26" s="36">
        <f>K26*365</f>
        <v>12.115295474342751</v>
      </c>
      <c r="N26" s="7">
        <f>K26*J26</f>
        <v>552.42428103968882</v>
      </c>
      <c r="O26" s="5">
        <f>N26*30</f>
        <v>16572.728431190666</v>
      </c>
      <c r="P26" s="5">
        <f>N26*365</f>
        <v>201634.86257948642</v>
      </c>
      <c r="Q26">
        <v>1350</v>
      </c>
      <c r="R26">
        <v>0.1</v>
      </c>
      <c r="S26">
        <v>0</v>
      </c>
      <c r="T26">
        <v>3000</v>
      </c>
      <c r="U26" s="2">
        <f>IF(S26&gt;0,(N26-((((Q26/1000)*R26)*24)))-(J26*(S26*K26)),(N26-(((Q26/1000)*R26)*24)))</f>
        <v>549.18428103968881</v>
      </c>
      <c r="V26" s="2">
        <f>U26*30</f>
        <v>16475.528431190665</v>
      </c>
      <c r="W26" s="13">
        <f>U26*365</f>
        <v>200452.26257948641</v>
      </c>
      <c r="X26" s="29">
        <v>5.2600000000000001E-2</v>
      </c>
      <c r="Y26" s="8">
        <f>T26/V26</f>
        <v>0.18208824151100045</v>
      </c>
      <c r="Z26" s="11">
        <f>M26/(Q26*(24*365))</f>
        <v>1.0244626648353418E-6</v>
      </c>
      <c r="AA26" s="2">
        <f>W26/(R26*24*365)</f>
        <v>228.82678376653698</v>
      </c>
      <c r="AB26" s="15">
        <f>(Q26/1000)*24</f>
        <v>32.400000000000006</v>
      </c>
      <c r="AC26" s="16">
        <f>AB26*30</f>
        <v>972.00000000000023</v>
      </c>
      <c r="AD26" s="16">
        <f>(AC26*12)/1000</f>
        <v>11.664000000000003</v>
      </c>
      <c r="AE26" s="16">
        <f>AD26*1640.7</f>
        <v>19137.124800000005</v>
      </c>
      <c r="AF26" s="16">
        <f>AB26*3412</f>
        <v>110548.80000000002</v>
      </c>
    </row>
    <row r="28" spans="1:32" x14ac:dyDescent="0.25">
      <c r="A28" s="37" t="s">
        <v>259</v>
      </c>
    </row>
  </sheetData>
  <sortState ref="A6:AF26">
    <sortCondition ref="P6:P26"/>
  </sortState>
  <mergeCells count="3">
    <mergeCell ref="D2:H2"/>
    <mergeCell ref="A4:P4"/>
    <mergeCell ref="AB3:AE3"/>
  </mergeCells>
  <hyperlinks>
    <hyperlink ref="A28" r:id="rId1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workbookViewId="0">
      <pane ySplit="1" topLeftCell="A100" activePane="bottomLeft" state="frozen"/>
      <selection pane="bottomLeft" activeCell="G115" sqref="G115"/>
    </sheetView>
  </sheetViews>
  <sheetFormatPr defaultRowHeight="15" x14ac:dyDescent="0.25"/>
  <cols>
    <col min="1" max="1" width="14.28515625" bestFit="1" customWidth="1"/>
    <col min="2" max="2" width="19.7109375" bestFit="1" customWidth="1"/>
    <col min="3" max="3" width="22.7109375" bestFit="1" customWidth="1"/>
    <col min="4" max="4" width="22.28515625" bestFit="1" customWidth="1"/>
    <col min="6" max="6" width="14.140625" bestFit="1" customWidth="1"/>
    <col min="7" max="7" width="14.28515625" customWidth="1"/>
    <col min="8" max="8" width="10" bestFit="1" customWidth="1"/>
    <col min="9" max="9" width="14" bestFit="1" customWidth="1"/>
  </cols>
  <sheetData>
    <row r="1" spans="1:9" x14ac:dyDescent="0.25">
      <c r="A1" s="19" t="s">
        <v>51</v>
      </c>
      <c r="B1" s="19" t="s">
        <v>6</v>
      </c>
      <c r="C1" s="20" t="s">
        <v>52</v>
      </c>
      <c r="D1" s="19" t="s">
        <v>53</v>
      </c>
      <c r="F1" s="19" t="s">
        <v>51</v>
      </c>
      <c r="G1" s="19" t="s">
        <v>6</v>
      </c>
      <c r="H1" s="20" t="s">
        <v>52</v>
      </c>
      <c r="I1" s="19" t="s">
        <v>53</v>
      </c>
    </row>
    <row r="2" spans="1:9" x14ac:dyDescent="0.25">
      <c r="A2" s="21" t="s">
        <v>54</v>
      </c>
      <c r="B2" s="22">
        <v>1364422081125</v>
      </c>
      <c r="C2" s="24">
        <v>-6.0900000000000003E-2</v>
      </c>
      <c r="D2" s="25" t="s">
        <v>55</v>
      </c>
      <c r="F2" s="21" t="s">
        <v>153</v>
      </c>
      <c r="G2" s="22">
        <v>442592</v>
      </c>
      <c r="H2" s="26">
        <v>1.0800000000000001E-2</v>
      </c>
      <c r="I2" s="25" t="s">
        <v>154</v>
      </c>
    </row>
    <row r="3" spans="1:9" x14ac:dyDescent="0.25">
      <c r="A3" s="21" t="s">
        <v>56</v>
      </c>
      <c r="B3" s="22">
        <v>1452839779146</v>
      </c>
      <c r="C3" s="26">
        <v>0.21390000000000001</v>
      </c>
      <c r="D3" s="25" t="s">
        <v>57</v>
      </c>
      <c r="F3" s="21" t="s">
        <v>155</v>
      </c>
      <c r="G3" s="22">
        <v>437853</v>
      </c>
      <c r="H3" s="26">
        <v>0.1109</v>
      </c>
      <c r="I3" s="25" t="s">
        <v>156</v>
      </c>
    </row>
    <row r="4" spans="1:9" x14ac:dyDescent="0.25">
      <c r="A4" s="21" t="s">
        <v>58</v>
      </c>
      <c r="B4" s="22">
        <v>1196792694099</v>
      </c>
      <c r="C4" s="26">
        <v>6.4899999999999999E-2</v>
      </c>
      <c r="D4" s="25" t="s">
        <v>59</v>
      </c>
      <c r="F4" s="21" t="s">
        <v>70</v>
      </c>
      <c r="G4" s="22">
        <v>394147</v>
      </c>
      <c r="H4" s="26">
        <v>6.7999999999999996E-3</v>
      </c>
      <c r="I4" s="25" t="s">
        <v>157</v>
      </c>
    </row>
    <row r="5" spans="1:9" x14ac:dyDescent="0.25">
      <c r="A5" s="21" t="s">
        <v>60</v>
      </c>
      <c r="B5" s="22">
        <v>1123863285133</v>
      </c>
      <c r="C5" s="26">
        <v>1.8499999999999999E-2</v>
      </c>
      <c r="D5" s="25" t="s">
        <v>61</v>
      </c>
      <c r="F5" s="21" t="s">
        <v>158</v>
      </c>
      <c r="G5" s="22">
        <v>391487</v>
      </c>
      <c r="H5" s="26">
        <v>0.1167</v>
      </c>
      <c r="I5" s="25" t="s">
        <v>159</v>
      </c>
    </row>
    <row r="6" spans="1:9" x14ac:dyDescent="0.25">
      <c r="A6" s="21" t="s">
        <v>62</v>
      </c>
      <c r="B6" s="22">
        <v>1103400932964</v>
      </c>
      <c r="C6" s="26">
        <v>0.1958</v>
      </c>
      <c r="D6" s="25" t="s">
        <v>63</v>
      </c>
      <c r="F6" s="21" t="s">
        <v>160</v>
      </c>
      <c r="G6" s="22">
        <v>350560</v>
      </c>
      <c r="H6" s="26">
        <v>0.14199999999999999</v>
      </c>
      <c r="I6" s="25" t="s">
        <v>161</v>
      </c>
    </row>
    <row r="7" spans="1:9" x14ac:dyDescent="0.25">
      <c r="A7" s="21" t="s">
        <v>64</v>
      </c>
      <c r="B7" s="22">
        <v>922724699726</v>
      </c>
      <c r="C7" s="26">
        <v>3.8899999999999997E-2</v>
      </c>
      <c r="D7" s="25" t="s">
        <v>65</v>
      </c>
      <c r="F7" s="21" t="s">
        <v>162</v>
      </c>
      <c r="G7" s="22">
        <v>306983</v>
      </c>
      <c r="H7" s="26">
        <v>9.8900000000000002E-2</v>
      </c>
      <c r="I7" s="25" t="s">
        <v>163</v>
      </c>
    </row>
    <row r="8" spans="1:9" x14ac:dyDescent="0.25">
      <c r="A8" s="21" t="s">
        <v>66</v>
      </c>
      <c r="B8" s="22">
        <v>888171856257</v>
      </c>
      <c r="C8" s="24">
        <v>-3.7999999999999999E-2</v>
      </c>
      <c r="D8" s="25" t="s">
        <v>67</v>
      </c>
      <c r="F8" s="21" t="s">
        <v>164</v>
      </c>
      <c r="G8" s="22">
        <v>279351</v>
      </c>
      <c r="H8" s="26">
        <v>1.4800000000000001E-2</v>
      </c>
      <c r="I8" s="25" t="s">
        <v>165</v>
      </c>
    </row>
    <row r="9" spans="1:9" x14ac:dyDescent="0.25">
      <c r="A9" s="21" t="s">
        <v>68</v>
      </c>
      <c r="B9" s="22">
        <v>923233068449</v>
      </c>
      <c r="C9" s="26">
        <v>7.3200000000000001E-2</v>
      </c>
      <c r="D9" s="25" t="s">
        <v>69</v>
      </c>
      <c r="F9" s="21" t="s">
        <v>166</v>
      </c>
      <c r="G9" s="22">
        <v>275264</v>
      </c>
      <c r="H9" s="24">
        <v>-1.6999999999999999E-3</v>
      </c>
      <c r="I9" s="25" t="s">
        <v>167</v>
      </c>
    </row>
    <row r="10" spans="1:9" x14ac:dyDescent="0.25">
      <c r="A10" s="21" t="s">
        <v>70</v>
      </c>
      <c r="B10" s="22">
        <v>860221984436</v>
      </c>
      <c r="C10" s="26">
        <v>6.9199999999999998E-2</v>
      </c>
      <c r="D10" s="25" t="s">
        <v>71</v>
      </c>
      <c r="F10" s="21" t="s">
        <v>168</v>
      </c>
      <c r="G10" s="22">
        <v>275721</v>
      </c>
      <c r="H10" s="26">
        <v>0.10290000000000001</v>
      </c>
      <c r="I10" s="25" t="s">
        <v>169</v>
      </c>
    </row>
    <row r="11" spans="1:9" x14ac:dyDescent="0.25">
      <c r="A11" s="21" t="s">
        <v>72</v>
      </c>
      <c r="B11" s="22">
        <v>804525194568</v>
      </c>
      <c r="C11" s="26">
        <v>0.1353</v>
      </c>
      <c r="D11" s="25" t="s">
        <v>73</v>
      </c>
      <c r="F11" s="21" t="s">
        <v>170</v>
      </c>
      <c r="G11" s="22">
        <v>250000</v>
      </c>
      <c r="H11" s="24">
        <v>-1.0800000000000001E-2</v>
      </c>
      <c r="I11" s="25" t="s">
        <v>171</v>
      </c>
    </row>
    <row r="12" spans="1:9" x14ac:dyDescent="0.25">
      <c r="A12" s="21" t="s">
        <v>74</v>
      </c>
      <c r="B12" s="22">
        <v>708659466230</v>
      </c>
      <c r="C12" s="24">
        <v>-4.3E-3</v>
      </c>
      <c r="D12" s="25" t="s">
        <v>75</v>
      </c>
      <c r="F12" s="21" t="s">
        <v>172</v>
      </c>
      <c r="G12" s="22">
        <v>252730</v>
      </c>
      <c r="H12" s="26">
        <v>3.8899999999999997E-2</v>
      </c>
      <c r="I12" s="25" t="s">
        <v>173</v>
      </c>
    </row>
    <row r="13" spans="1:9" x14ac:dyDescent="0.25">
      <c r="A13" s="21" t="s">
        <v>76</v>
      </c>
      <c r="B13" s="22">
        <v>711697198174</v>
      </c>
      <c r="C13" s="26">
        <v>4.8500000000000001E-2</v>
      </c>
      <c r="D13" s="25" t="s">
        <v>77</v>
      </c>
      <c r="F13" s="21" t="s">
        <v>174</v>
      </c>
      <c r="G13" s="22">
        <v>243262</v>
      </c>
      <c r="H13" s="24">
        <v>-4.6800000000000001E-2</v>
      </c>
      <c r="I13" s="25" t="s">
        <v>175</v>
      </c>
    </row>
    <row r="14" spans="1:9" x14ac:dyDescent="0.25">
      <c r="A14" s="21" t="s">
        <v>78</v>
      </c>
      <c r="B14" s="22">
        <v>678760110083</v>
      </c>
      <c r="C14" s="26">
        <v>0.13900000000000001</v>
      </c>
      <c r="D14" s="25" t="s">
        <v>79</v>
      </c>
      <c r="F14" s="21" t="s">
        <v>176</v>
      </c>
      <c r="G14" s="22">
        <v>255206</v>
      </c>
      <c r="H14" s="24">
        <v>-5.8900000000000001E-2</v>
      </c>
      <c r="I14" s="25" t="s">
        <v>177</v>
      </c>
    </row>
    <row r="15" spans="1:9" x14ac:dyDescent="0.25">
      <c r="A15" s="21" t="s">
        <v>80</v>
      </c>
      <c r="B15" s="22">
        <v>595921917085</v>
      </c>
      <c r="C15" s="26">
        <v>6.4199999999999993E-2</v>
      </c>
      <c r="D15" s="25" t="s">
        <v>81</v>
      </c>
      <c r="F15" s="21" t="s">
        <v>178</v>
      </c>
      <c r="G15" s="22">
        <v>271188</v>
      </c>
      <c r="H15" s="26">
        <v>0.1875</v>
      </c>
      <c r="I15" s="25" t="s">
        <v>179</v>
      </c>
    </row>
    <row r="16" spans="1:9" x14ac:dyDescent="0.25">
      <c r="A16" s="21" t="s">
        <v>82</v>
      </c>
      <c r="B16" s="22">
        <v>559970892891</v>
      </c>
      <c r="C16" s="26">
        <v>7.2800000000000004E-2</v>
      </c>
      <c r="D16" s="25" t="s">
        <v>83</v>
      </c>
      <c r="F16" s="21" t="s">
        <v>76</v>
      </c>
      <c r="G16" s="22">
        <v>228364</v>
      </c>
      <c r="H16" s="24">
        <v>-8.5000000000000006E-3</v>
      </c>
      <c r="I16" s="25" t="s">
        <v>180</v>
      </c>
    </row>
    <row r="17" spans="1:9" x14ac:dyDescent="0.25">
      <c r="A17" s="21" t="s">
        <v>84</v>
      </c>
      <c r="B17" s="22">
        <v>521974519554</v>
      </c>
      <c r="C17" s="26">
        <v>2.2000000000000001E-3</v>
      </c>
      <c r="D17" s="25" t="s">
        <v>85</v>
      </c>
      <c r="F17" s="21" t="s">
        <v>181</v>
      </c>
      <c r="G17" s="22">
        <v>230315</v>
      </c>
      <c r="H17" s="26">
        <v>0.1673</v>
      </c>
      <c r="I17" s="25" t="s">
        <v>182</v>
      </c>
    </row>
    <row r="18" spans="1:9" x14ac:dyDescent="0.25">
      <c r="A18" s="21" t="s">
        <v>86</v>
      </c>
      <c r="B18" s="22">
        <v>520808749422</v>
      </c>
      <c r="C18" s="26">
        <v>4.24E-2</v>
      </c>
      <c r="D18" s="25" t="s">
        <v>87</v>
      </c>
      <c r="F18" s="21" t="s">
        <v>183</v>
      </c>
      <c r="G18" s="22">
        <v>197309</v>
      </c>
      <c r="H18" s="24">
        <v>-0.218</v>
      </c>
      <c r="I18" s="25" t="s">
        <v>184</v>
      </c>
    </row>
    <row r="19" spans="1:9" x14ac:dyDescent="0.25">
      <c r="A19" s="21" t="s">
        <v>88</v>
      </c>
      <c r="B19" s="22">
        <v>499635929817</v>
      </c>
      <c r="C19" s="26">
        <v>5.0299999999999997E-2</v>
      </c>
      <c r="D19" s="25" t="s">
        <v>89</v>
      </c>
      <c r="F19" s="21" t="s">
        <v>185</v>
      </c>
      <c r="G19" s="22">
        <v>252311</v>
      </c>
      <c r="H19" s="24">
        <v>-2.1000000000000001E-2</v>
      </c>
      <c r="I19" s="25" t="s">
        <v>186</v>
      </c>
    </row>
    <row r="20" spans="1:9" x14ac:dyDescent="0.25">
      <c r="A20" s="21" t="s">
        <v>90</v>
      </c>
      <c r="B20" s="22">
        <v>475705205062</v>
      </c>
      <c r="C20" s="26">
        <v>3.2399999999999998E-2</v>
      </c>
      <c r="D20" s="25" t="s">
        <v>91</v>
      </c>
      <c r="F20" s="21" t="s">
        <v>187</v>
      </c>
      <c r="G20" s="22">
        <v>257730</v>
      </c>
      <c r="H20" s="26">
        <v>6.7400000000000002E-2</v>
      </c>
      <c r="I20" s="25" t="s">
        <v>188</v>
      </c>
    </row>
    <row r="21" spans="1:9" x14ac:dyDescent="0.25">
      <c r="A21" s="21" t="s">
        <v>92</v>
      </c>
      <c r="B21" s="22">
        <v>460769358091</v>
      </c>
      <c r="C21" s="26">
        <v>4.5400000000000003E-2</v>
      </c>
      <c r="D21" s="25" t="s">
        <v>93</v>
      </c>
      <c r="F21" s="21" t="s">
        <v>189</v>
      </c>
      <c r="G21" s="22">
        <v>241458</v>
      </c>
      <c r="H21" s="26">
        <v>2.2000000000000001E-3</v>
      </c>
      <c r="I21" s="25" t="s">
        <v>190</v>
      </c>
    </row>
    <row r="22" spans="1:9" x14ac:dyDescent="0.25">
      <c r="A22" s="21" t="s">
        <v>94</v>
      </c>
      <c r="B22" s="22">
        <v>440779902287</v>
      </c>
      <c r="C22" s="26">
        <v>4.41E-2</v>
      </c>
      <c r="D22" s="25" t="s">
        <v>95</v>
      </c>
      <c r="F22" s="21" t="s">
        <v>191</v>
      </c>
      <c r="G22" s="22">
        <v>240940</v>
      </c>
      <c r="H22" s="24">
        <v>-1.5E-3</v>
      </c>
      <c r="I22" s="25" t="s">
        <v>192</v>
      </c>
    </row>
    <row r="23" spans="1:9" x14ac:dyDescent="0.25">
      <c r="A23" s="21" t="s">
        <v>96</v>
      </c>
      <c r="B23" s="22">
        <v>422170566884</v>
      </c>
      <c r="C23" s="26">
        <v>7.4300000000000005E-2</v>
      </c>
      <c r="D23" s="25" t="s">
        <v>97</v>
      </c>
      <c r="F23" s="21" t="s">
        <v>80</v>
      </c>
      <c r="G23" s="22">
        <v>241295</v>
      </c>
      <c r="H23" s="26">
        <v>7.3300000000000004E-2</v>
      </c>
      <c r="I23" s="25" t="s">
        <v>193</v>
      </c>
    </row>
    <row r="24" spans="1:9" x14ac:dyDescent="0.25">
      <c r="A24" s="21" t="s">
        <v>98</v>
      </c>
      <c r="B24" s="22">
        <v>392963262344</v>
      </c>
      <c r="C24" s="26">
        <v>0.16639999999999999</v>
      </c>
      <c r="D24" s="25" t="s">
        <v>99</v>
      </c>
      <c r="F24" s="21" t="s">
        <v>194</v>
      </c>
      <c r="G24" s="22">
        <v>224826</v>
      </c>
      <c r="H24" s="24">
        <v>-3.27E-2</v>
      </c>
      <c r="I24" s="25" t="s">
        <v>195</v>
      </c>
    </row>
    <row r="25" spans="1:9" x14ac:dyDescent="0.25">
      <c r="A25" s="21" t="s">
        <v>100</v>
      </c>
      <c r="B25" s="22">
        <v>336899932796</v>
      </c>
      <c r="C25" s="26">
        <v>6.0499999999999998E-2</v>
      </c>
      <c r="D25" s="25" t="s">
        <v>101</v>
      </c>
      <c r="F25" s="21" t="s">
        <v>196</v>
      </c>
      <c r="G25" s="22">
        <v>232424</v>
      </c>
      <c r="H25" s="26">
        <v>8.7900000000000006E-2</v>
      </c>
      <c r="I25" s="25" t="s">
        <v>197</v>
      </c>
    </row>
    <row r="26" spans="1:9" x14ac:dyDescent="0.25">
      <c r="A26" s="21" t="s">
        <v>102</v>
      </c>
      <c r="B26" s="22">
        <v>317688400354</v>
      </c>
      <c r="C26" s="26">
        <v>2.4299999999999999E-2</v>
      </c>
      <c r="D26" s="25" t="s">
        <v>103</v>
      </c>
      <c r="F26" s="21" t="s">
        <v>198</v>
      </c>
      <c r="G26" s="22">
        <v>213651</v>
      </c>
      <c r="H26" s="26">
        <v>0.1246</v>
      </c>
      <c r="I26" s="25" t="s">
        <v>199</v>
      </c>
    </row>
    <row r="27" spans="1:9" x14ac:dyDescent="0.25">
      <c r="A27" s="21" t="s">
        <v>104</v>
      </c>
      <c r="B27" s="22">
        <v>310153855703</v>
      </c>
      <c r="C27" s="26">
        <v>8.1600000000000006E-2</v>
      </c>
      <c r="D27" s="25" t="s">
        <v>105</v>
      </c>
      <c r="F27" s="21" t="s">
        <v>82</v>
      </c>
      <c r="G27" s="22">
        <v>189979</v>
      </c>
      <c r="H27" s="26">
        <v>6.0999999999999999E-2</v>
      </c>
      <c r="I27" s="25" t="s">
        <v>200</v>
      </c>
    </row>
    <row r="28" spans="1:9" x14ac:dyDescent="0.25">
      <c r="A28" s="21" t="s">
        <v>106</v>
      </c>
      <c r="B28" s="22">
        <v>286765766821</v>
      </c>
      <c r="C28" s="26">
        <v>1.7600000000000001E-2</v>
      </c>
      <c r="D28" s="25" t="s">
        <v>107</v>
      </c>
      <c r="F28" s="21" t="s">
        <v>201</v>
      </c>
      <c r="G28" s="22">
        <v>179054</v>
      </c>
      <c r="H28" s="26">
        <v>9.4E-2</v>
      </c>
      <c r="I28" s="25" t="s">
        <v>202</v>
      </c>
    </row>
    <row r="29" spans="1:9" x14ac:dyDescent="0.25">
      <c r="A29" s="21" t="s">
        <v>108</v>
      </c>
      <c r="B29" s="22">
        <v>281800917193</v>
      </c>
      <c r="C29" s="26">
        <v>0.10680000000000001</v>
      </c>
      <c r="D29" s="25" t="s">
        <v>109</v>
      </c>
      <c r="F29" s="21" t="s">
        <v>203</v>
      </c>
      <c r="G29" s="22">
        <v>163669</v>
      </c>
      <c r="H29" s="27">
        <v>0.30249999999999999</v>
      </c>
      <c r="I29" s="25" t="s">
        <v>204</v>
      </c>
    </row>
    <row r="30" spans="1:9" x14ac:dyDescent="0.25">
      <c r="A30" s="21" t="s">
        <v>110</v>
      </c>
      <c r="B30" s="22">
        <v>254620187304</v>
      </c>
      <c r="C30" s="26">
        <v>4.0000000000000001E-3</v>
      </c>
      <c r="D30" s="25" t="s">
        <v>111</v>
      </c>
      <c r="F30" s="21" t="s">
        <v>205</v>
      </c>
      <c r="G30" s="22">
        <v>125655</v>
      </c>
      <c r="H30" s="24">
        <v>-0.14119999999999999</v>
      </c>
      <c r="I30" s="25" t="s">
        <v>206</v>
      </c>
    </row>
    <row r="31" spans="1:9" x14ac:dyDescent="0.25">
      <c r="A31" s="21" t="s">
        <v>112</v>
      </c>
      <c r="B31" s="22">
        <v>253618246641</v>
      </c>
      <c r="C31" s="24">
        <v>-1.9E-2</v>
      </c>
      <c r="D31" s="25" t="s">
        <v>113</v>
      </c>
      <c r="F31" s="21" t="s">
        <v>84</v>
      </c>
      <c r="G31" s="22">
        <v>146318</v>
      </c>
      <c r="H31" s="26">
        <v>0.1115</v>
      </c>
      <c r="I31" s="25" t="s">
        <v>207</v>
      </c>
    </row>
    <row r="32" spans="1:9" x14ac:dyDescent="0.25">
      <c r="A32" s="21" t="s">
        <v>114</v>
      </c>
      <c r="B32" s="22">
        <v>258522748405</v>
      </c>
      <c r="C32" s="26">
        <v>7.17E-2</v>
      </c>
      <c r="D32" s="25" t="s">
        <v>115</v>
      </c>
      <c r="F32" s="21" t="s">
        <v>208</v>
      </c>
      <c r="G32" s="22">
        <v>131639</v>
      </c>
      <c r="H32" s="24">
        <v>-2.8999999999999998E-3</v>
      </c>
      <c r="I32" s="25" t="s">
        <v>209</v>
      </c>
    </row>
    <row r="33" spans="1:9" x14ac:dyDescent="0.25">
      <c r="A33" s="21" t="s">
        <v>116</v>
      </c>
      <c r="B33" s="22">
        <v>241227200230</v>
      </c>
      <c r="C33" s="26">
        <v>6.8199999999999997E-2</v>
      </c>
      <c r="D33" s="25" t="s">
        <v>117</v>
      </c>
      <c r="F33" s="21" t="s">
        <v>210</v>
      </c>
      <c r="G33" s="22">
        <v>132016</v>
      </c>
      <c r="H33" s="26">
        <v>0.29089999999999999</v>
      </c>
      <c r="I33" s="25" t="s">
        <v>211</v>
      </c>
    </row>
    <row r="34" spans="1:9" x14ac:dyDescent="0.25">
      <c r="A34" s="21" t="s">
        <v>118</v>
      </c>
      <c r="B34" s="22">
        <v>225832872179</v>
      </c>
      <c r="C34" s="26">
        <v>2.3E-2</v>
      </c>
      <c r="D34" s="25" t="s">
        <v>119</v>
      </c>
      <c r="F34" s="21" t="s">
        <v>212</v>
      </c>
      <c r="G34" s="22">
        <v>102267</v>
      </c>
      <c r="H34" s="26">
        <v>9.9500000000000005E-2</v>
      </c>
      <c r="I34" s="25" t="s">
        <v>213</v>
      </c>
    </row>
    <row r="35" spans="1:9" x14ac:dyDescent="0.25">
      <c r="A35" s="21" t="s">
        <v>120</v>
      </c>
      <c r="B35" s="22">
        <v>220755908330</v>
      </c>
      <c r="C35" s="26">
        <v>1.5599999999999999E-2</v>
      </c>
      <c r="D35" s="25" t="s">
        <v>121</v>
      </c>
      <c r="F35" s="21" t="s">
        <v>214</v>
      </c>
      <c r="G35" s="22">
        <v>93016</v>
      </c>
      <c r="H35" s="26">
        <v>1.26E-2</v>
      </c>
      <c r="I35" s="25" t="s">
        <v>215</v>
      </c>
    </row>
    <row r="36" spans="1:9" x14ac:dyDescent="0.25">
      <c r="A36" s="21" t="s">
        <v>122</v>
      </c>
      <c r="B36" s="22">
        <v>217375482757</v>
      </c>
      <c r="C36" s="26">
        <v>7.6700000000000004E-2</v>
      </c>
      <c r="D36" s="25" t="s">
        <v>123</v>
      </c>
      <c r="F36" s="21" t="s">
        <v>216</v>
      </c>
      <c r="G36" s="22">
        <v>91854</v>
      </c>
      <c r="H36" s="24">
        <v>-0.1007</v>
      </c>
      <c r="I36" s="25" t="s">
        <v>217</v>
      </c>
    </row>
    <row r="37" spans="1:9" x14ac:dyDescent="0.25">
      <c r="A37" s="21" t="s">
        <v>124</v>
      </c>
      <c r="B37" s="22">
        <v>201893210853</v>
      </c>
      <c r="C37" s="24">
        <v>-5.4300000000000001E-2</v>
      </c>
      <c r="D37" s="25" t="s">
        <v>125</v>
      </c>
      <c r="F37" s="21" t="s">
        <v>218</v>
      </c>
      <c r="G37" s="22">
        <v>102136</v>
      </c>
      <c r="H37" s="26">
        <v>9.8699999999999996E-2</v>
      </c>
      <c r="I37" s="25" t="s">
        <v>219</v>
      </c>
    </row>
    <row r="38" spans="1:9" x14ac:dyDescent="0.25">
      <c r="A38" s="21" t="s">
        <v>126</v>
      </c>
      <c r="B38" s="22">
        <v>213492501108</v>
      </c>
      <c r="C38" s="26">
        <v>4.0000000000000002E-4</v>
      </c>
      <c r="D38" s="25" t="s">
        <v>127</v>
      </c>
      <c r="F38" s="21" t="s">
        <v>220</v>
      </c>
      <c r="G38" s="22">
        <v>92957</v>
      </c>
      <c r="H38" s="26">
        <v>6.3299999999999995E-2</v>
      </c>
      <c r="I38" s="25" t="s">
        <v>221</v>
      </c>
    </row>
    <row r="39" spans="1:9" x14ac:dyDescent="0.25">
      <c r="A39" s="21" t="s">
        <v>128</v>
      </c>
      <c r="B39" s="22">
        <v>213398925331</v>
      </c>
      <c r="C39" s="26">
        <v>1.8800000000000001E-2</v>
      </c>
      <c r="D39" s="25" t="s">
        <v>129</v>
      </c>
      <c r="F39" s="21" t="s">
        <v>222</v>
      </c>
      <c r="G39" s="22">
        <v>87421</v>
      </c>
      <c r="H39" s="24">
        <v>-1.89E-2</v>
      </c>
      <c r="I39" s="25" t="s">
        <v>223</v>
      </c>
    </row>
    <row r="40" spans="1:9" x14ac:dyDescent="0.25">
      <c r="A40" s="21" t="s">
        <v>130</v>
      </c>
      <c r="B40" s="22">
        <v>209453158595</v>
      </c>
      <c r="C40" s="26">
        <v>6.83E-2</v>
      </c>
      <c r="D40" s="25" t="s">
        <v>131</v>
      </c>
      <c r="F40" s="21" t="s">
        <v>224</v>
      </c>
      <c r="G40" s="22">
        <v>89106</v>
      </c>
      <c r="H40" s="24">
        <v>-5.5800000000000002E-2</v>
      </c>
      <c r="I40" s="25" t="s">
        <v>225</v>
      </c>
    </row>
    <row r="41" spans="1:9" x14ac:dyDescent="0.25">
      <c r="A41" s="21" t="s">
        <v>132</v>
      </c>
      <c r="B41" s="22">
        <v>196061423940</v>
      </c>
      <c r="C41" s="24">
        <v>-1.6299999999999999E-2</v>
      </c>
      <c r="D41" s="25" t="s">
        <v>133</v>
      </c>
      <c r="F41" s="21" t="s">
        <v>226</v>
      </c>
      <c r="G41" s="22">
        <v>94375</v>
      </c>
      <c r="H41" s="26">
        <v>6.0100000000000001E-2</v>
      </c>
      <c r="I41" s="25" t="s">
        <v>227</v>
      </c>
    </row>
    <row r="42" spans="1:9" x14ac:dyDescent="0.25">
      <c r="A42" s="21" t="s">
        <v>134</v>
      </c>
      <c r="B42" s="22">
        <v>199312067531</v>
      </c>
      <c r="C42" s="26">
        <v>2.5999999999999999E-2</v>
      </c>
      <c r="D42" s="25" t="s">
        <v>135</v>
      </c>
      <c r="F42" s="21" t="s">
        <v>228</v>
      </c>
      <c r="G42" s="22">
        <v>89025</v>
      </c>
      <c r="H42" s="24">
        <v>-5.0799999999999998E-2</v>
      </c>
      <c r="I42" s="25" t="s">
        <v>229</v>
      </c>
    </row>
    <row r="43" spans="1:9" x14ac:dyDescent="0.25">
      <c r="A43" s="21" t="s">
        <v>136</v>
      </c>
      <c r="B43" s="22">
        <v>194254820283</v>
      </c>
      <c r="C43" s="26">
        <v>8.7300000000000003E-2</v>
      </c>
      <c r="D43" s="25" t="s">
        <v>137</v>
      </c>
      <c r="F43" s="21" t="s">
        <v>90</v>
      </c>
      <c r="G43" s="22">
        <v>93785</v>
      </c>
      <c r="H43" s="26">
        <v>7.17E-2</v>
      </c>
      <c r="I43" s="25" t="s">
        <v>230</v>
      </c>
    </row>
    <row r="44" spans="1:9" x14ac:dyDescent="0.25">
      <c r="A44" s="21" t="s">
        <v>138</v>
      </c>
      <c r="B44" s="22">
        <v>178659257773</v>
      </c>
      <c r="C44" s="24">
        <v>-1E-4</v>
      </c>
      <c r="D44" s="25" t="s">
        <v>139</v>
      </c>
      <c r="F44" s="21" t="s">
        <v>231</v>
      </c>
      <c r="G44" s="22">
        <v>87514</v>
      </c>
      <c r="H44" s="24">
        <v>-1.09E-2</v>
      </c>
      <c r="I44" s="25" t="s">
        <v>232</v>
      </c>
    </row>
    <row r="45" spans="1:9" x14ac:dyDescent="0.25">
      <c r="A45" s="21" t="s">
        <v>140</v>
      </c>
      <c r="B45" s="22">
        <v>178678307672</v>
      </c>
      <c r="C45" s="26">
        <v>7.0900000000000005E-2</v>
      </c>
      <c r="D45" s="25" t="s">
        <v>141</v>
      </c>
      <c r="F45" s="21" t="s">
        <v>233</v>
      </c>
      <c r="G45" s="22">
        <v>88482</v>
      </c>
      <c r="H45" s="24">
        <v>-1.55E-2</v>
      </c>
      <c r="I45" s="25" t="s">
        <v>234</v>
      </c>
    </row>
    <row r="46" spans="1:9" x14ac:dyDescent="0.25">
      <c r="A46" s="21" t="s">
        <v>142</v>
      </c>
      <c r="B46" s="22">
        <v>166851513283</v>
      </c>
      <c r="C46" s="26">
        <v>8.2000000000000007E-3</v>
      </c>
      <c r="D46" s="25" t="s">
        <v>143</v>
      </c>
      <c r="F46" s="21" t="s">
        <v>235</v>
      </c>
      <c r="G46" s="22">
        <v>89872</v>
      </c>
      <c r="H46" s="24">
        <v>-8.6499999999999994E-2</v>
      </c>
      <c r="I46" s="25" t="s">
        <v>236</v>
      </c>
    </row>
    <row r="47" spans="1:9" x14ac:dyDescent="0.25">
      <c r="A47" s="21" t="s">
        <v>144</v>
      </c>
      <c r="B47" s="22">
        <v>165496835118</v>
      </c>
      <c r="C47" s="26">
        <v>4.4600000000000001E-2</v>
      </c>
      <c r="D47" s="25" t="s">
        <v>145</v>
      </c>
      <c r="F47" s="21" t="s">
        <v>92</v>
      </c>
      <c r="G47" s="22">
        <v>98387</v>
      </c>
      <c r="H47" s="24">
        <v>-6.4000000000000003E-3</v>
      </c>
      <c r="I47" s="25" t="s">
        <v>237</v>
      </c>
    </row>
    <row r="48" spans="1:9" x14ac:dyDescent="0.25">
      <c r="A48" s="21" t="s">
        <v>146</v>
      </c>
      <c r="B48" s="22">
        <v>158427203767</v>
      </c>
      <c r="C48" s="24">
        <v>-3.1E-2</v>
      </c>
      <c r="D48" s="25" t="s">
        <v>147</v>
      </c>
      <c r="F48" s="21" t="s">
        <v>238</v>
      </c>
      <c r="G48" s="22">
        <v>99025</v>
      </c>
      <c r="H48" s="26">
        <v>7.2800000000000004E-2</v>
      </c>
      <c r="I48" s="25" t="s">
        <v>239</v>
      </c>
    </row>
    <row r="49" spans="1:9" x14ac:dyDescent="0.25">
      <c r="A49" s="21" t="s">
        <v>148</v>
      </c>
      <c r="B49" s="22">
        <v>163491654909</v>
      </c>
      <c r="C49" s="26">
        <v>0.13439999999999999</v>
      </c>
      <c r="D49" s="25" t="s">
        <v>149</v>
      </c>
      <c r="F49" s="21" t="s">
        <v>240</v>
      </c>
      <c r="G49" s="22">
        <v>92302</v>
      </c>
      <c r="H49" s="24">
        <v>-6.7799999999999999E-2</v>
      </c>
      <c r="I49" s="25" t="s">
        <v>241</v>
      </c>
    </row>
    <row r="50" spans="1:9" x14ac:dyDescent="0.25">
      <c r="A50" s="21" t="s">
        <v>150</v>
      </c>
      <c r="B50" s="22">
        <v>144116447847</v>
      </c>
      <c r="C50" s="26">
        <v>0.2006</v>
      </c>
      <c r="D50" s="25" t="s">
        <v>151</v>
      </c>
      <c r="F50" s="21" t="s">
        <v>242</v>
      </c>
      <c r="G50" s="22">
        <v>99011</v>
      </c>
      <c r="H50" s="26">
        <v>4.02E-2</v>
      </c>
      <c r="I50" s="25" t="s">
        <v>239</v>
      </c>
    </row>
    <row r="51" spans="1:9" x14ac:dyDescent="0.25">
      <c r="A51" s="21" t="s">
        <v>1</v>
      </c>
      <c r="B51" t="s">
        <v>152</v>
      </c>
      <c r="C51" s="23">
        <f>AVERAGE(C2:C50)</f>
        <v>5.2597959183673451E-2</v>
      </c>
      <c r="F51" s="21" t="s">
        <v>243</v>
      </c>
      <c r="G51" t="s">
        <v>152</v>
      </c>
      <c r="H51" s="23">
        <f>AVERAGE(H2:H50)</f>
        <v>3.6212244897959191E-2</v>
      </c>
    </row>
    <row r="52" spans="1:9" x14ac:dyDescent="0.25">
      <c r="C52" t="s">
        <v>248</v>
      </c>
    </row>
    <row r="53" spans="1:9" x14ac:dyDescent="0.25">
      <c r="A53" s="30">
        <v>43070</v>
      </c>
      <c r="B53" s="15">
        <f>B50*(1+C51)</f>
        <v>151696678888.55249</v>
      </c>
      <c r="C53" s="16">
        <f>'Coin Overview'!V24*0.9474</f>
        <v>332.3037559220196</v>
      </c>
      <c r="D53" s="23">
        <f>1-C51</f>
        <v>0.94740204081632651</v>
      </c>
    </row>
    <row r="54" spans="1:9" x14ac:dyDescent="0.25">
      <c r="A54" s="31">
        <v>43101</v>
      </c>
      <c r="B54" s="15">
        <f>B53*(1+C51)</f>
        <v>159675614613.03137</v>
      </c>
      <c r="C54" s="16">
        <f>C53*0.9474</f>
        <v>314.8245783605214</v>
      </c>
    </row>
    <row r="55" spans="1:9" x14ac:dyDescent="0.25">
      <c r="A55" s="30">
        <v>43132</v>
      </c>
      <c r="B55" s="15">
        <f>B54*(1+C51)</f>
        <v>168074226073.07556</v>
      </c>
      <c r="C55" s="16">
        <f>C54*0.9474</f>
        <v>298.26480553875797</v>
      </c>
    </row>
    <row r="56" spans="1:9" x14ac:dyDescent="0.25">
      <c r="A56" s="30">
        <v>43160</v>
      </c>
      <c r="B56" s="15">
        <f>B55*(1+C51)</f>
        <v>176914587355.89468</v>
      </c>
      <c r="C56" s="16">
        <f t="shared" ref="C56:C102" si="0">C55*0.9474</f>
        <v>282.57607676741929</v>
      </c>
    </row>
    <row r="57" spans="1:9" x14ac:dyDescent="0.25">
      <c r="A57" s="31">
        <v>43191</v>
      </c>
      <c r="B57" s="15">
        <f>B56*(1+C51)</f>
        <v>186219933600.63644</v>
      </c>
      <c r="C57" s="16">
        <f t="shared" si="0"/>
        <v>267.71257512945306</v>
      </c>
    </row>
    <row r="58" spans="1:9" x14ac:dyDescent="0.25">
      <c r="A58" s="30">
        <v>43221</v>
      </c>
      <c r="B58" s="15">
        <f>B57*(1+C51)</f>
        <v>196014722067.34909</v>
      </c>
      <c r="C58" s="16">
        <f t="shared" si="0"/>
        <v>253.63089367764383</v>
      </c>
    </row>
    <row r="59" spans="1:9" x14ac:dyDescent="0.25">
      <c r="A59" s="30">
        <v>43252</v>
      </c>
      <c r="B59" s="15">
        <f>B58*(1+C51)</f>
        <v>206324696418.0466</v>
      </c>
      <c r="C59" s="16">
        <f t="shared" si="0"/>
        <v>240.28990867019976</v>
      </c>
    </row>
    <row r="60" spans="1:9" x14ac:dyDescent="0.25">
      <c r="A60" s="31">
        <v>43282</v>
      </c>
      <c r="B60" s="15">
        <f>B59*(1+C51)</f>
        <v>217176954378.82681</v>
      </c>
      <c r="C60" s="16">
        <f t="shared" si="0"/>
        <v>227.65065947414726</v>
      </c>
    </row>
    <row r="61" spans="1:9" x14ac:dyDescent="0.25">
      <c r="A61" s="30">
        <v>43313</v>
      </c>
      <c r="B61" s="15">
        <f>B60*(1+C51)</f>
        <v>228600018960.87885</v>
      </c>
      <c r="C61" s="16">
        <f t="shared" si="0"/>
        <v>215.67623478580711</v>
      </c>
    </row>
    <row r="62" spans="1:9" x14ac:dyDescent="0.25">
      <c r="A62" s="30">
        <v>43344</v>
      </c>
      <c r="B62" s="15">
        <f>B61*(1+C51)</f>
        <v>240623913427.5701</v>
      </c>
      <c r="C62" s="16">
        <f t="shared" si="0"/>
        <v>204.33166483607366</v>
      </c>
    </row>
    <row r="63" spans="1:9" x14ac:dyDescent="0.25">
      <c r="A63" s="31">
        <v>43374</v>
      </c>
      <c r="B63" s="15">
        <f>B62*(1+C51)</f>
        <v>253280240204.6492</v>
      </c>
      <c r="C63" s="16">
        <f t="shared" si="0"/>
        <v>193.58381926569618</v>
      </c>
    </row>
    <row r="64" spans="1:9" x14ac:dyDescent="0.25">
      <c r="A64" s="30">
        <v>43405</v>
      </c>
      <c r="B64" s="15">
        <f>B63*(1+C51)</f>
        <v>266602263940.96432</v>
      </c>
      <c r="C64" s="16">
        <f t="shared" si="0"/>
        <v>183.40131037232055</v>
      </c>
    </row>
    <row r="65" spans="1:5" x14ac:dyDescent="0.25">
      <c r="A65" s="30">
        <v>43435</v>
      </c>
      <c r="B65" s="15">
        <f>B64*(1+C51)</f>
        <v>280624998938.0061</v>
      </c>
      <c r="C65" s="16">
        <f t="shared" si="0"/>
        <v>173.75440144673649</v>
      </c>
      <c r="D65" s="16">
        <f>C53-C65</f>
        <v>158.54935447528311</v>
      </c>
      <c r="E65">
        <f>D65/C53</f>
        <v>0.47712176480030294</v>
      </c>
    </row>
    <row r="66" spans="1:5" x14ac:dyDescent="0.25">
      <c r="A66" s="31">
        <v>43466</v>
      </c>
      <c r="B66" s="15">
        <f>B65*(1+C51)</f>
        <v>295385301178.06573</v>
      </c>
      <c r="C66" s="16">
        <f t="shared" si="0"/>
        <v>164.61491993063817</v>
      </c>
    </row>
    <row r="67" spans="1:5" x14ac:dyDescent="0.25">
      <c r="A67" s="30">
        <v>43497</v>
      </c>
      <c r="B67" s="15">
        <f>B66*(1+C51)</f>
        <v>310921965192.88672</v>
      </c>
      <c r="C67" s="16">
        <f t="shared" si="0"/>
        <v>155.95617514228661</v>
      </c>
    </row>
    <row r="68" spans="1:5" x14ac:dyDescent="0.25">
      <c r="A68" s="30">
        <v>43525</v>
      </c>
      <c r="B68" s="15">
        <f>B67*(1+C51)</f>
        <v>327275826027.40967</v>
      </c>
      <c r="C68" s="16">
        <f t="shared" si="0"/>
        <v>147.75288032980234</v>
      </c>
    </row>
    <row r="69" spans="1:5" x14ac:dyDescent="0.25">
      <c r="A69" s="31">
        <v>43556</v>
      </c>
      <c r="B69" s="15">
        <f>B68*(1+C51)</f>
        <v>344489866566.60236</v>
      </c>
      <c r="C69" s="16">
        <f t="shared" si="0"/>
        <v>139.98107882445473</v>
      </c>
    </row>
    <row r="70" spans="1:5" x14ac:dyDescent="0.25">
      <c r="A70" s="30">
        <v>43586</v>
      </c>
      <c r="B70" s="15">
        <f>B69*(1+C51)</f>
        <v>362609330507.46161</v>
      </c>
      <c r="C70" s="16">
        <f t="shared" si="0"/>
        <v>132.6180740782884</v>
      </c>
    </row>
    <row r="71" spans="1:5" x14ac:dyDescent="0.25">
      <c r="A71" s="30">
        <v>43617</v>
      </c>
      <c r="B71" s="15">
        <f>B70*(1+C51)</f>
        <v>381681841273.11218</v>
      </c>
      <c r="C71" s="16">
        <f t="shared" si="0"/>
        <v>125.64236338177044</v>
      </c>
    </row>
    <row r="72" spans="1:5" x14ac:dyDescent="0.25">
      <c r="A72" s="31">
        <v>43647</v>
      </c>
      <c r="B72" s="15">
        <f>B71*(1+C51)</f>
        <v>401757527181.54462</v>
      </c>
      <c r="C72" s="16">
        <f t="shared" si="0"/>
        <v>119.03357506788932</v>
      </c>
    </row>
    <row r="73" spans="1:5" x14ac:dyDescent="0.25">
      <c r="A73" s="30">
        <v>43678</v>
      </c>
      <c r="B73" s="15">
        <f>B72*(1+C51)</f>
        <v>422889153197.97302</v>
      </c>
      <c r="C73" s="16">
        <f t="shared" si="0"/>
        <v>112.77240901931835</v>
      </c>
    </row>
    <row r="74" spans="1:5" x14ac:dyDescent="0.25">
      <c r="A74" s="30">
        <v>43709</v>
      </c>
      <c r="B74" s="15">
        <f>B73*(1+C51)</f>
        <v>445132259617.09821</v>
      </c>
      <c r="C74" s="16">
        <f t="shared" si="0"/>
        <v>106.8405803049022</v>
      </c>
    </row>
    <row r="75" spans="1:5" x14ac:dyDescent="0.25">
      <c r="A75" s="31">
        <v>43739</v>
      </c>
      <c r="B75" s="15">
        <f>B74*(1+C51)</f>
        <v>468545308039.77466</v>
      </c>
      <c r="C75" s="16">
        <f t="shared" si="0"/>
        <v>101.22076578086435</v>
      </c>
    </row>
    <row r="76" spans="1:5" x14ac:dyDescent="0.25">
      <c r="A76" s="30">
        <v>43770</v>
      </c>
      <c r="B76" s="15">
        <f>B75*(1+C51)</f>
        <v>493189835027.75238</v>
      </c>
      <c r="C76" s="16">
        <f t="shared" si="0"/>
        <v>95.896553500790887</v>
      </c>
    </row>
    <row r="77" spans="1:5" x14ac:dyDescent="0.25">
      <c r="A77" s="30">
        <v>43800</v>
      </c>
      <c r="B77" s="15">
        <f>B76*(1+C51)</f>
        <v>519130613840.34473</v>
      </c>
      <c r="C77" s="16">
        <f t="shared" si="0"/>
        <v>90.852394786649285</v>
      </c>
      <c r="D77" s="16">
        <f>C65-C77</f>
        <v>82.90200666008721</v>
      </c>
      <c r="E77">
        <f>D77/C65</f>
        <v>0.47712176480030283</v>
      </c>
    </row>
    <row r="78" spans="1:5" x14ac:dyDescent="0.25">
      <c r="A78" s="30">
        <v>43831</v>
      </c>
      <c r="B78" s="15"/>
      <c r="C78" s="16">
        <f t="shared" si="0"/>
        <v>86.07355882087154</v>
      </c>
    </row>
    <row r="79" spans="1:5" x14ac:dyDescent="0.25">
      <c r="A79" s="30">
        <v>43862</v>
      </c>
      <c r="C79" s="16">
        <f t="shared" si="0"/>
        <v>81.546089626893703</v>
      </c>
    </row>
    <row r="80" spans="1:5" x14ac:dyDescent="0.25">
      <c r="A80" s="30">
        <v>43891</v>
      </c>
      <c r="C80" s="16">
        <f t="shared" si="0"/>
        <v>77.256765312519093</v>
      </c>
    </row>
    <row r="81" spans="1:3" x14ac:dyDescent="0.25">
      <c r="A81" s="30">
        <v>43922</v>
      </c>
      <c r="C81" s="16">
        <f t="shared" si="0"/>
        <v>73.193059457080594</v>
      </c>
    </row>
    <row r="82" spans="1:3" x14ac:dyDescent="0.25">
      <c r="A82" s="30">
        <v>43952</v>
      </c>
      <c r="C82" s="16">
        <f t="shared" si="0"/>
        <v>69.343104529638154</v>
      </c>
    </row>
    <row r="83" spans="1:3" x14ac:dyDescent="0.25">
      <c r="A83" s="30">
        <v>43983</v>
      </c>
      <c r="C83" s="16">
        <f t="shared" si="0"/>
        <v>65.695657231379187</v>
      </c>
    </row>
    <row r="84" spans="1:3" x14ac:dyDescent="0.25">
      <c r="A84" s="30">
        <v>44013</v>
      </c>
      <c r="C84" s="16">
        <f t="shared" si="0"/>
        <v>62.240065661008643</v>
      </c>
    </row>
    <row r="85" spans="1:3" x14ac:dyDescent="0.25">
      <c r="A85" s="30">
        <v>44044</v>
      </c>
      <c r="C85" s="16">
        <f t="shared" si="0"/>
        <v>58.966238207239591</v>
      </c>
    </row>
    <row r="86" spans="1:3" x14ac:dyDescent="0.25">
      <c r="A86" s="30">
        <v>44075</v>
      </c>
      <c r="C86" s="16">
        <f t="shared" si="0"/>
        <v>55.864614077538789</v>
      </c>
    </row>
    <row r="87" spans="1:3" x14ac:dyDescent="0.25">
      <c r="A87" s="30">
        <v>44105</v>
      </c>
      <c r="C87" s="16">
        <f t="shared" si="0"/>
        <v>52.926135377060248</v>
      </c>
    </row>
    <row r="88" spans="1:3" x14ac:dyDescent="0.25">
      <c r="A88" s="30">
        <v>44136</v>
      </c>
      <c r="C88" s="16">
        <f t="shared" si="0"/>
        <v>50.142220656226883</v>
      </c>
    </row>
    <row r="89" spans="1:3" x14ac:dyDescent="0.25">
      <c r="A89" s="30">
        <v>44166</v>
      </c>
      <c r="C89" s="16">
        <f t="shared" si="0"/>
        <v>47.504739849709352</v>
      </c>
    </row>
    <row r="90" spans="1:3" x14ac:dyDescent="0.25">
      <c r="A90" s="30">
        <v>44197</v>
      </c>
      <c r="C90" s="16">
        <f t="shared" si="0"/>
        <v>45.005990533614643</v>
      </c>
    </row>
    <row r="91" spans="1:3" x14ac:dyDescent="0.25">
      <c r="A91" s="30">
        <v>44228</v>
      </c>
      <c r="C91" s="16">
        <f t="shared" si="0"/>
        <v>42.638675431546517</v>
      </c>
    </row>
    <row r="92" spans="1:3" x14ac:dyDescent="0.25">
      <c r="A92" s="30">
        <v>44256</v>
      </c>
      <c r="C92" s="16">
        <f t="shared" si="0"/>
        <v>40.395881103847174</v>
      </c>
    </row>
    <row r="93" spans="1:3" x14ac:dyDescent="0.25">
      <c r="A93" s="30">
        <v>44287</v>
      </c>
      <c r="C93" s="16">
        <f t="shared" si="0"/>
        <v>38.27105775778481</v>
      </c>
    </row>
    <row r="94" spans="1:3" x14ac:dyDescent="0.25">
      <c r="A94" s="30">
        <v>44317</v>
      </c>
      <c r="C94" s="16">
        <f t="shared" si="0"/>
        <v>36.258000119725331</v>
      </c>
    </row>
    <row r="95" spans="1:3" x14ac:dyDescent="0.25">
      <c r="A95" s="30">
        <v>44348</v>
      </c>
      <c r="C95" s="16">
        <f t="shared" si="0"/>
        <v>34.350829313427781</v>
      </c>
    </row>
    <row r="96" spans="1:3" x14ac:dyDescent="0.25">
      <c r="A96" s="30">
        <v>44378</v>
      </c>
      <c r="C96" s="16">
        <f t="shared" si="0"/>
        <v>32.543975691541483</v>
      </c>
    </row>
    <row r="97" spans="1:7" x14ac:dyDescent="0.25">
      <c r="A97" s="30">
        <v>44409</v>
      </c>
      <c r="C97" s="16">
        <f t="shared" si="0"/>
        <v>30.832162570166403</v>
      </c>
    </row>
    <row r="98" spans="1:7" x14ac:dyDescent="0.25">
      <c r="A98" s="30">
        <v>44440</v>
      </c>
      <c r="C98" s="16">
        <f t="shared" si="0"/>
        <v>29.21039081897565</v>
      </c>
    </row>
    <row r="99" spans="1:7" x14ac:dyDescent="0.25">
      <c r="A99" s="30">
        <v>44470</v>
      </c>
      <c r="C99" s="16">
        <f t="shared" si="0"/>
        <v>27.673924261897533</v>
      </c>
    </row>
    <row r="100" spans="1:7" x14ac:dyDescent="0.25">
      <c r="A100" s="30">
        <v>44501</v>
      </c>
      <c r="C100" s="16">
        <f t="shared" si="0"/>
        <v>26.218275845721724</v>
      </c>
    </row>
    <row r="101" spans="1:7" x14ac:dyDescent="0.25">
      <c r="A101" s="30">
        <v>44531</v>
      </c>
      <c r="C101" s="16">
        <f t="shared" si="0"/>
        <v>24.839194536236761</v>
      </c>
    </row>
    <row r="102" spans="1:7" x14ac:dyDescent="0.25">
      <c r="A102" s="30">
        <v>44562</v>
      </c>
      <c r="C102" s="16">
        <f t="shared" si="0"/>
        <v>23.532652903630709</v>
      </c>
    </row>
    <row r="103" spans="1:7" x14ac:dyDescent="0.25">
      <c r="A103" s="30">
        <v>44593</v>
      </c>
      <c r="C103" s="16">
        <f t="shared" ref="C103:C125" si="1">C102*0.9474</f>
        <v>22.294835360899732</v>
      </c>
    </row>
    <row r="104" spans="1:7" x14ac:dyDescent="0.25">
      <c r="A104" s="30">
        <v>44621</v>
      </c>
      <c r="C104" s="16">
        <f t="shared" si="1"/>
        <v>21.122127020916405</v>
      </c>
    </row>
    <row r="105" spans="1:7" x14ac:dyDescent="0.25">
      <c r="A105" s="30">
        <v>44652</v>
      </c>
      <c r="C105" s="16">
        <f t="shared" si="1"/>
        <v>20.011103139616203</v>
      </c>
      <c r="F105" s="33" t="s">
        <v>249</v>
      </c>
      <c r="G105" s="5">
        <f>SUM(C53:C64)</f>
        <v>3014.2462828000594</v>
      </c>
    </row>
    <row r="106" spans="1:7" x14ac:dyDescent="0.25">
      <c r="A106" s="30">
        <v>44682</v>
      </c>
      <c r="C106" s="16">
        <f t="shared" si="1"/>
        <v>18.958519114472391</v>
      </c>
      <c r="F106" s="33" t="s">
        <v>250</v>
      </c>
      <c r="G106" s="5">
        <f>SUM(C65:C76)</f>
        <v>1576.0837768077422</v>
      </c>
    </row>
    <row r="107" spans="1:7" x14ac:dyDescent="0.25">
      <c r="A107" s="30">
        <v>44713</v>
      </c>
      <c r="C107" s="16">
        <f t="shared" si="1"/>
        <v>17.961301009051144</v>
      </c>
      <c r="F107" s="33" t="s">
        <v>251</v>
      </c>
      <c r="G107" s="5">
        <f>SUM(C77:C88)</f>
        <v>824.09990374410575</v>
      </c>
    </row>
    <row r="108" spans="1:7" x14ac:dyDescent="0.25">
      <c r="A108" s="30">
        <v>44743</v>
      </c>
      <c r="C108" s="16">
        <f t="shared" si="1"/>
        <v>17.016536575975053</v>
      </c>
      <c r="F108" s="33" t="s">
        <v>252</v>
      </c>
      <c r="G108" s="5">
        <f>SUM(C89:C100)</f>
        <v>430.90390329795844</v>
      </c>
    </row>
    <row r="109" spans="1:7" x14ac:dyDescent="0.25">
      <c r="A109" s="30">
        <v>44774</v>
      </c>
      <c r="C109" s="16">
        <f t="shared" si="1"/>
        <v>16.121466752078767</v>
      </c>
      <c r="F109" s="33" t="s">
        <v>253</v>
      </c>
      <c r="G109" s="5">
        <f>SUM(C101:C112)</f>
        <v>225.31027249709746</v>
      </c>
    </row>
    <row r="110" spans="1:7" x14ac:dyDescent="0.25">
      <c r="A110" s="30">
        <v>44805</v>
      </c>
      <c r="C110" s="16">
        <f t="shared" si="1"/>
        <v>15.273477600919424</v>
      </c>
      <c r="F110" s="33" t="s">
        <v>254</v>
      </c>
      <c r="G110" s="5">
        <f>SUM(C113:C125)</f>
        <v>124.60091439784767</v>
      </c>
    </row>
    <row r="111" spans="1:7" x14ac:dyDescent="0.25">
      <c r="A111" s="30">
        <v>44835</v>
      </c>
      <c r="C111" s="16">
        <f t="shared" si="1"/>
        <v>14.470092679111064</v>
      </c>
      <c r="F111" s="33" t="s">
        <v>260</v>
      </c>
      <c r="G111" s="44">
        <f>SUM(G105:G110)</f>
        <v>6195.2450535448115</v>
      </c>
    </row>
    <row r="112" spans="1:7" x14ac:dyDescent="0.25">
      <c r="A112" s="30">
        <v>44866</v>
      </c>
      <c r="C112" s="16">
        <f t="shared" si="1"/>
        <v>13.708965804189821</v>
      </c>
      <c r="F112" s="32"/>
    </row>
    <row r="113" spans="1:4" x14ac:dyDescent="0.25">
      <c r="A113" s="30">
        <v>44896</v>
      </c>
      <c r="C113" s="16">
        <f t="shared" si="1"/>
        <v>12.987874202889437</v>
      </c>
      <c r="D113" s="16">
        <f>SUM(C53:C113)+76562.14</f>
        <v>82645.772013349851</v>
      </c>
    </row>
    <row r="114" spans="1:4" x14ac:dyDescent="0.25">
      <c r="A114" s="30">
        <v>44927</v>
      </c>
      <c r="C114" s="16">
        <f t="shared" si="1"/>
        <v>12.304712019817453</v>
      </c>
    </row>
    <row r="115" spans="1:4" x14ac:dyDescent="0.25">
      <c r="A115" s="30">
        <v>44958</v>
      </c>
      <c r="C115" s="16">
        <f t="shared" si="1"/>
        <v>11.657484167575054</v>
      </c>
    </row>
    <row r="116" spans="1:4" x14ac:dyDescent="0.25">
      <c r="A116" s="30">
        <v>44986</v>
      </c>
      <c r="C116" s="16">
        <f t="shared" si="1"/>
        <v>11.044300500360606</v>
      </c>
    </row>
    <row r="117" spans="1:4" x14ac:dyDescent="0.25">
      <c r="A117" s="30">
        <v>45017</v>
      </c>
      <c r="C117" s="16">
        <f t="shared" si="1"/>
        <v>10.463370294041638</v>
      </c>
    </row>
    <row r="118" spans="1:4" x14ac:dyDescent="0.25">
      <c r="A118" s="30">
        <v>45047</v>
      </c>
      <c r="C118" s="16">
        <f t="shared" si="1"/>
        <v>9.9129970165750478</v>
      </c>
    </row>
    <row r="119" spans="1:4" x14ac:dyDescent="0.25">
      <c r="A119" s="30">
        <v>45078</v>
      </c>
      <c r="C119" s="16">
        <f t="shared" si="1"/>
        <v>9.391573373503201</v>
      </c>
    </row>
    <row r="120" spans="1:4" x14ac:dyDescent="0.25">
      <c r="A120" s="30">
        <v>45108</v>
      </c>
      <c r="C120" s="16">
        <f t="shared" si="1"/>
        <v>8.8975766140569323</v>
      </c>
    </row>
    <row r="121" spans="1:4" x14ac:dyDescent="0.25">
      <c r="A121" s="30">
        <v>45139</v>
      </c>
      <c r="C121" s="16">
        <f t="shared" si="1"/>
        <v>8.429564084157537</v>
      </c>
    </row>
    <row r="122" spans="1:4" x14ac:dyDescent="0.25">
      <c r="A122" s="30">
        <v>45170</v>
      </c>
      <c r="C122" s="16">
        <f t="shared" si="1"/>
        <v>7.9861690133308505</v>
      </c>
    </row>
    <row r="123" spans="1:4" x14ac:dyDescent="0.25">
      <c r="A123" s="30">
        <v>45200</v>
      </c>
      <c r="C123" s="16">
        <f t="shared" si="1"/>
        <v>7.566096523229648</v>
      </c>
    </row>
    <row r="124" spans="1:4" x14ac:dyDescent="0.25">
      <c r="A124" s="30">
        <v>45231</v>
      </c>
      <c r="C124" s="16">
        <f t="shared" si="1"/>
        <v>7.1681198461077686</v>
      </c>
    </row>
    <row r="125" spans="1:4" x14ac:dyDescent="0.25">
      <c r="A125" s="30">
        <v>45261</v>
      </c>
      <c r="C125" s="16">
        <f t="shared" si="1"/>
        <v>6.7910767422024998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Coin Overview</vt:lpstr>
      <vt:lpstr>Bitcoin Difficulty</vt:lpstr>
      <vt:lpstr>Sheet3</vt:lpstr>
    </vt:vector>
  </TitlesOfParts>
  <Company>Clackamas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dcterms:created xsi:type="dcterms:W3CDTF">2017-11-18T13:37:56Z</dcterms:created>
  <dcterms:modified xsi:type="dcterms:W3CDTF">2017-12-11T11:18:50Z</dcterms:modified>
</cp:coreProperties>
</file>